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Plantilla Presupuesto" sheetId="1" r:id="rId1"/>
    <sheet name="Plantilla Ejecución " sheetId="2" r:id="rId2"/>
  </sheets>
  <definedNames/>
  <calcPr fullCalcOnLoad="1"/>
</workbook>
</file>

<file path=xl/sharedStrings.xml><?xml version="1.0" encoding="utf-8"?>
<sst xmlns="http://schemas.openxmlformats.org/spreadsheetml/2006/main" count="197" uniqueCount="115">
  <si>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</si>
  <si>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</si>
  <si>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</si>
  <si>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</si>
  <si>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</si>
  <si>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</si>
  <si>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</si>
  <si>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</si>
  <si>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</si>
  <si>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</si>
  <si>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</si>
  <si>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</si>
  <si>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</si>
  <si>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</si>
  <si>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</si>
  <si>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</si>
  <si>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</si>
  <si>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</si>
  <si>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</si>
  <si>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</si>
  <si>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</si>
  <si>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</si>
  <si>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</si>
  <si>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</si>
  <si>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</si>
  <si>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</si>
  <si>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</si>
  <si>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</si>
  <si>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</si>
  <si>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</si>
  <si>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</si>
  <si>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</si>
  <si>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</si>
  <si>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</si>
  <si>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</si>
  <si>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</si>
  <si>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</si>
  <si>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</si>
  <si>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</si>
  <si>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</si>
  <si>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</si>
  <si>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</si>
  <si>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</si>
  <si>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</si>
  <si>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</si>
  <si>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</si>
  <si>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</si>
  <si>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</si>
  <si>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</si>
  <si>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</si>
  <si>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</si>
  <si>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</si>
  <si>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</si>
  <si>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</si>
  <si>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</si>
  <si>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</si>
  <si>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</si>
  <si>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</si>
  <si>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</si>
  <si>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</si>
  <si>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</si>
  <si>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</si>
  <si>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</si>
  <si>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</si>
  <si>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</si>
  <si>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</si>
  <si>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</si>
  <si>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</si>
  <si>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</si>
  <si>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</si>
  <si>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</si>
  <si>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</si>
  <si>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</si>
  <si>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</si>
  <si>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</si>
  <si>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</si>
  <si>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</si>
  <si>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</si>
  <si>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</si>
  <si>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</si>
  <si>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</si>
  <si>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</si>
  <si>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</si>
  <si>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</si>
  <si>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</si>
  <si>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</si>
  <si>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</si>
  <si>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</si>
  <si>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</si>
  <si>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</si>
  <si>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</si>
  <si>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</si>
  <si>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</si>
  <si>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</si>
  <si>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</si>
  <si>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</si>
  <si>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</si>
  <si>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</si>
  <si>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</si>
  <si>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</si>
  <si>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</si>
  <si>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</si>
  <si>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</si>
  <si>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</si>
  <si>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</si>
  <si>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</si>
  <si>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</si>
  <si>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Obras Públicas y Comunicaciones</t>
  </si>
  <si>
    <t>Instituto Nacional de Transito y Transporte Terrestre</t>
  </si>
  <si>
    <t>Año del Fomento de las Exportaciones</t>
  </si>
  <si>
    <t xml:space="preserve">      2.1.4 - GRATIFICACIONES Y BONIFICACIONES</t>
  </si>
  <si>
    <t>Fecha de registro: hasta el [30] de [09] del [2019]</t>
  </si>
  <si>
    <t>Fecha de imputación: hasta el [01] del [10] del [2019]</t>
  </si>
  <si>
    <t>Licda. Paula Placencia</t>
  </si>
  <si>
    <t>Encargada de presupuesto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</si>
</sst>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(* #,##0_);_(* \(#,##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3" fontId="36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4" fontId="36" fillId="34" borderId="10" xfId="0" applyNumberFormat="1" applyFont="1" applyFill="1" applyBorder="1" applyAlignment="1">
      <alignment horizontal="center" vertical="center" wrapText="1"/>
    </xf>
    <xf numFmtId="43" fontId="36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6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43" fontId="0" fillId="0" borderId="10" xfId="47" applyFont="1" applyBorder="1" applyAlignment="1">
      <alignment/>
    </xf>
    <xf numFmtId="4" fontId="36" fillId="0" borderId="10" xfId="0" applyNumberFormat="1" applyFont="1" applyBorder="1" applyAlignment="1">
      <alignment/>
    </xf>
    <xf numFmtId="172" fontId="36" fillId="34" borderId="10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43" fontId="36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43" fontId="0" fillId="0" borderId="10" xfId="47" applyFont="1" applyBorder="1" applyAlignment="1">
      <alignment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38" fillId="33" borderId="10" xfId="47" applyFont="1" applyFill="1" applyBorder="1" applyAlignment="1">
      <alignment horizontal="center" vertical="center" wrapText="1"/>
    </xf>
    <xf numFmtId="43" fontId="2" fillId="0" borderId="10" xfId="47" applyFont="1" applyFill="1" applyBorder="1" applyAlignment="1">
      <alignment horizontal="right" vertical="center"/>
    </xf>
    <xf numFmtId="43" fontId="0" fillId="0" borderId="10" xfId="47" applyFont="1" applyBorder="1" applyAlignment="1">
      <alignment/>
    </xf>
    <xf numFmtId="43" fontId="36" fillId="34" borderId="10" xfId="47" applyFont="1" applyFill="1" applyBorder="1" applyAlignment="1">
      <alignment horizontal="center" vertical="center" wrapText="1"/>
    </xf>
    <xf numFmtId="43" fontId="0" fillId="0" borderId="0" xfId="47" applyFont="1" applyBorder="1" applyAlignment="1">
      <alignment/>
    </xf>
    <xf numFmtId="43" fontId="36" fillId="33" borderId="10" xfId="47" applyFont="1" applyFill="1" applyBorder="1" applyAlignment="1">
      <alignment horizontal="center" vertical="center" wrapText="1"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0" xfId="47" applyFont="1" applyBorder="1" applyAlignment="1">
      <alignment vertical="center" wrapText="1"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3" xfId="47" applyFont="1" applyBorder="1" applyAlignment="1">
      <alignment/>
    </xf>
    <xf numFmtId="43" fontId="0" fillId="0" borderId="14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0" fontId="0" fillId="0" borderId="15" xfId="0" applyFill="1" applyBorder="1" applyAlignment="1">
      <alignment/>
    </xf>
    <xf numFmtId="43" fontId="0" fillId="0" borderId="10" xfId="47" applyFont="1" applyBorder="1" applyAlignment="1">
      <alignment/>
    </xf>
    <xf numFmtId="0" fontId="36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666750</xdr:colOff>
      <xdr:row>3</xdr:row>
      <xdr:rowOff>171450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3</xdr:row>
      <xdr:rowOff>219075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89</xdr:row>
      <xdr:rowOff>0</xdr:rowOff>
    </xdr:from>
    <xdr:to>
      <xdr:col>0</xdr:col>
      <xdr:colOff>1590675</xdr:colOff>
      <xdr:row>90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4815" t="11503" r="4562" b="26548"/>
        <a:stretch>
          <a:fillRect/>
        </a:stretch>
      </xdr:blipFill>
      <xdr:spPr>
        <a:xfrm>
          <a:off x="0" y="27803475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87</xdr:row>
      <xdr:rowOff>57150</xdr:rowOff>
    </xdr:from>
    <xdr:to>
      <xdr:col>1</xdr:col>
      <xdr:colOff>57150</xdr:colOff>
      <xdr:row>93</xdr:row>
      <xdr:rowOff>285750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94151">
          <a:off x="1238250" y="27479625"/>
          <a:ext cx="14859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752475</xdr:colOff>
      <xdr:row>0</xdr:row>
      <xdr:rowOff>190500</xdr:rowOff>
    </xdr:from>
    <xdr:to>
      <xdr:col>12</xdr:col>
      <xdr:colOff>990600</xdr:colOff>
      <xdr:row>5</xdr:row>
      <xdr:rowOff>9525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54100" y="190500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1</xdr:row>
      <xdr:rowOff>114300</xdr:rowOff>
    </xdr:from>
    <xdr:to>
      <xdr:col>0</xdr:col>
      <xdr:colOff>1819275</xdr:colOff>
      <xdr:row>5</xdr:row>
      <xdr:rowOff>47625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352425"/>
          <a:ext cx="1057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GridLines="0" zoomScalePageLayoutView="0" workbookViewId="0" topLeftCell="A1">
      <selection activeCell="A3" sqref="A3:C3"/>
    </sheetView>
  </sheetViews>
  <sheetFormatPr defaultColWidth="9.140625" defaultRowHeight="15"/>
  <cols>
    <col min="1" max="1" width="94.7109375" style="0" customWidth="1"/>
    <col min="2" max="2" width="16.00390625" style="10" bestFit="1" customWidth="1"/>
    <col min="3" max="3" width="15.00390625" style="68" customWidth="1"/>
    <col min="4" max="4" width="11.57421875" style="0" bestFit="1" customWidth="1"/>
  </cols>
  <sheetData>
    <row r="1" spans="1:5" ht="18.75">
      <c r="A1" s="80" t="s">
        <v>107</v>
      </c>
      <c r="B1" s="80"/>
      <c r="C1" s="80"/>
      <c r="E1" s="1" t="s">
        <v>39</v>
      </c>
    </row>
    <row r="2" spans="1:5" ht="18.75">
      <c r="A2" s="80" t="s">
        <v>108</v>
      </c>
      <c r="B2" s="80"/>
      <c r="C2" s="80"/>
      <c r="E2" s="2" t="s">
        <v>102</v>
      </c>
    </row>
    <row r="3" spans="1:5" ht="18.75">
      <c r="A3" s="80" t="s">
        <v>109</v>
      </c>
      <c r="B3" s="80"/>
      <c r="C3" s="80"/>
      <c r="E3" s="2" t="s">
        <v>103</v>
      </c>
    </row>
    <row r="4" spans="1:5" ht="18.75">
      <c r="A4" s="82" t="s">
        <v>105</v>
      </c>
      <c r="B4" s="82"/>
      <c r="C4" s="82"/>
      <c r="E4" s="1" t="s">
        <v>94</v>
      </c>
    </row>
    <row r="5" spans="1:5" ht="15">
      <c r="A5" s="81" t="s">
        <v>36</v>
      </c>
      <c r="B5" s="81"/>
      <c r="C5" s="81"/>
      <c r="E5" s="2" t="s">
        <v>100</v>
      </c>
    </row>
    <row r="6" spans="1:5" ht="15">
      <c r="A6" s="79"/>
      <c r="B6" s="79"/>
      <c r="C6" s="79"/>
      <c r="E6" s="2" t="s">
        <v>101</v>
      </c>
    </row>
    <row r="7" spans="1:3" ht="31.5">
      <c r="A7" s="30" t="s">
        <v>0</v>
      </c>
      <c r="B7" s="7" t="s">
        <v>37</v>
      </c>
      <c r="C7" s="32" t="s">
        <v>38</v>
      </c>
    </row>
    <row r="8" spans="1:3" ht="15">
      <c r="A8" s="24" t="s">
        <v>1</v>
      </c>
      <c r="B8" s="8"/>
      <c r="C8" s="8"/>
    </row>
    <row r="9" spans="1:3" ht="15">
      <c r="A9" s="24" t="s">
        <v>2</v>
      </c>
      <c r="B9" s="15">
        <f>B10+B11+B12+B13+B14</f>
        <v>564141770.24</v>
      </c>
      <c r="C9" s="15">
        <f>C10+C11+C12+C13+C14</f>
        <v>568137003.64</v>
      </c>
    </row>
    <row r="10" spans="1:3" ht="15">
      <c r="A10" s="26" t="s">
        <v>3</v>
      </c>
      <c r="B10" s="16">
        <v>464095129.36</v>
      </c>
      <c r="C10" s="74">
        <v>466874860.56</v>
      </c>
    </row>
    <row r="11" spans="1:3" ht="15">
      <c r="A11" s="26" t="s">
        <v>4</v>
      </c>
      <c r="B11" s="16">
        <v>33535392.04</v>
      </c>
      <c r="C11" s="73">
        <f>34369362.04-88972</f>
        <v>34280390.04</v>
      </c>
    </row>
    <row r="12" spans="1:3" ht="15">
      <c r="A12" s="26" t="s">
        <v>40</v>
      </c>
      <c r="B12" s="16">
        <v>450000</v>
      </c>
      <c r="C12" s="73">
        <v>450000</v>
      </c>
    </row>
    <row r="13" spans="1:3" ht="15">
      <c r="A13" s="6" t="s">
        <v>110</v>
      </c>
      <c r="B13" s="73">
        <v>1200000</v>
      </c>
      <c r="C13" s="73">
        <v>1200000</v>
      </c>
    </row>
    <row r="14" spans="1:3" ht="15">
      <c r="A14" s="26" t="s">
        <v>6</v>
      </c>
      <c r="B14" s="16">
        <v>64861248.84</v>
      </c>
      <c r="C14" s="73">
        <v>65331753.04</v>
      </c>
    </row>
    <row r="15" spans="1:3" ht="15">
      <c r="A15" s="24" t="s">
        <v>7</v>
      </c>
      <c r="B15" s="17">
        <f>B16+B17+B18+B19+B20+B21+B22+B23+B24</f>
        <v>593688888.39</v>
      </c>
      <c r="C15" s="17">
        <f>C16+C17+C18+C19+C20+C21+C22+C23+C24</f>
        <v>778932998.24</v>
      </c>
    </row>
    <row r="16" spans="1:3" ht="15">
      <c r="A16" s="26" t="s">
        <v>8</v>
      </c>
      <c r="B16" s="16">
        <v>27247884</v>
      </c>
      <c r="C16" s="73">
        <v>24486560</v>
      </c>
    </row>
    <row r="17" spans="1:3" ht="15">
      <c r="A17" s="26" t="s">
        <v>9</v>
      </c>
      <c r="B17" s="16">
        <v>46315174.85</v>
      </c>
      <c r="C17" s="73">
        <f>51619185.53+12758605.79</f>
        <v>64377791.32</v>
      </c>
    </row>
    <row r="18" spans="1:3" ht="15">
      <c r="A18" s="26" t="s">
        <v>10</v>
      </c>
      <c r="B18" s="16">
        <v>11450000</v>
      </c>
      <c r="C18" s="73">
        <f>11450000-900000</f>
        <v>10550000</v>
      </c>
    </row>
    <row r="19" spans="1:3" ht="18" customHeight="1">
      <c r="A19" s="26" t="s">
        <v>11</v>
      </c>
      <c r="B19" s="16">
        <v>7196500</v>
      </c>
      <c r="C19" s="73">
        <f>7196500-400000</f>
        <v>6796500</v>
      </c>
    </row>
    <row r="20" spans="1:3" ht="15">
      <c r="A20" s="26" t="s">
        <v>12</v>
      </c>
      <c r="B20" s="16">
        <v>5319208.55</v>
      </c>
      <c r="C20" s="73">
        <f>6813578.55-724099.86</f>
        <v>6089478.6899999995</v>
      </c>
    </row>
    <row r="21" spans="1:3" ht="15">
      <c r="A21" s="26" t="s">
        <v>13</v>
      </c>
      <c r="B21" s="16">
        <v>2087093.88</v>
      </c>
      <c r="C21" s="73">
        <v>4848417.88</v>
      </c>
    </row>
    <row r="22" spans="1:3" ht="15">
      <c r="A22" s="26" t="s">
        <v>14</v>
      </c>
      <c r="B22" s="16">
        <v>16317323.33</v>
      </c>
      <c r="C22" s="73">
        <f>20665429.52+1078690+10754112.04</f>
        <v>32498231.56</v>
      </c>
    </row>
    <row r="23" spans="1:3" ht="15">
      <c r="A23" s="26" t="s">
        <v>15</v>
      </c>
      <c r="B23" s="16">
        <v>476778993.78</v>
      </c>
      <c r="C23" s="73">
        <f>651985838.02-3275100-20233100.18</f>
        <v>628477637.84</v>
      </c>
    </row>
    <row r="24" spans="1:3" ht="15">
      <c r="A24" s="26" t="s">
        <v>41</v>
      </c>
      <c r="B24" s="16">
        <v>976710</v>
      </c>
      <c r="C24" s="73">
        <f>331670.95+976710-500000</f>
        <v>808380.95</v>
      </c>
    </row>
    <row r="25" spans="1:3" ht="15">
      <c r="A25" s="24" t="s">
        <v>16</v>
      </c>
      <c r="B25" s="17">
        <f>B26+B27+B28+B29+B30+B31+B32+B33+B34</f>
        <v>56932971.64</v>
      </c>
      <c r="C25" s="17">
        <f>C26+C27+C28+C29+C30+C31+C32+C33+C34</f>
        <v>56688397.95</v>
      </c>
    </row>
    <row r="26" spans="1:3" ht="15">
      <c r="A26" s="26" t="s">
        <v>17</v>
      </c>
      <c r="B26" s="16">
        <v>4548471.65</v>
      </c>
      <c r="C26" s="73">
        <f>3638471.65-492635.92+343897.11</f>
        <v>3489732.84</v>
      </c>
    </row>
    <row r="27" spans="1:3" ht="15">
      <c r="A27" s="26" t="s">
        <v>18</v>
      </c>
      <c r="B27" s="16">
        <v>2890382</v>
      </c>
      <c r="C27" s="73">
        <f>3275944.1+1695395.25</f>
        <v>4971339.35</v>
      </c>
    </row>
    <row r="28" spans="1:3" ht="15">
      <c r="A28" s="26" t="s">
        <v>19</v>
      </c>
      <c r="B28" s="16">
        <v>4844726.57</v>
      </c>
      <c r="C28" s="73">
        <f>4144726.57-123973.38-1090545.79</f>
        <v>2930207.4</v>
      </c>
    </row>
    <row r="29" spans="1:3" ht="15">
      <c r="A29" s="26" t="s">
        <v>20</v>
      </c>
      <c r="B29" s="74">
        <v>150000</v>
      </c>
      <c r="C29" s="73">
        <v>0</v>
      </c>
    </row>
    <row r="30" spans="1:3" ht="15">
      <c r="A30" s="26" t="s">
        <v>21</v>
      </c>
      <c r="B30" s="16">
        <v>3316224.15</v>
      </c>
      <c r="C30" s="73">
        <f>3316224.15+324715.46+279000</f>
        <v>3919939.61</v>
      </c>
    </row>
    <row r="31" spans="1:3" ht="15">
      <c r="A31" s="26" t="s">
        <v>22</v>
      </c>
      <c r="B31" s="16">
        <v>17618702.03</v>
      </c>
      <c r="C31" s="76">
        <f>17618702.03+100-500000</f>
        <v>17118802.03</v>
      </c>
    </row>
    <row r="32" spans="1:3" ht="15">
      <c r="A32" s="26" t="s">
        <v>23</v>
      </c>
      <c r="B32" s="16">
        <v>14316218.66</v>
      </c>
      <c r="C32" s="73">
        <f>14316218.66-195303.02+145000</f>
        <v>14265915.64</v>
      </c>
    </row>
    <row r="33" spans="1:3" ht="15">
      <c r="A33" s="26" t="s">
        <v>42</v>
      </c>
      <c r="B33" s="16"/>
      <c r="C33" s="73"/>
    </row>
    <row r="34" spans="1:3" ht="15">
      <c r="A34" s="26" t="s">
        <v>24</v>
      </c>
      <c r="B34" s="16">
        <v>9248246.58</v>
      </c>
      <c r="C34" s="73">
        <f>9248246.58+744214.5</f>
        <v>9992461.08</v>
      </c>
    </row>
    <row r="35" spans="1:3" ht="15">
      <c r="A35" s="24" t="s">
        <v>25</v>
      </c>
      <c r="B35" s="17">
        <f>B36+B37+B38+B39+B40+B41+B42</f>
        <v>865000</v>
      </c>
      <c r="C35" s="17">
        <f>C36+C37+C38+C39+C40+C41+C42</f>
        <v>2115000</v>
      </c>
    </row>
    <row r="36" spans="1:3" ht="15">
      <c r="A36" s="26" t="s">
        <v>26</v>
      </c>
      <c r="B36" s="16">
        <v>865000</v>
      </c>
      <c r="C36" s="73">
        <v>1565000</v>
      </c>
    </row>
    <row r="37" spans="1:3" ht="15">
      <c r="A37" s="26" t="s">
        <v>43</v>
      </c>
      <c r="B37" s="16"/>
      <c r="C37" s="66"/>
    </row>
    <row r="38" spans="1:3" ht="15">
      <c r="A38" s="26" t="s">
        <v>44</v>
      </c>
      <c r="B38" s="16"/>
      <c r="C38" s="66"/>
    </row>
    <row r="39" spans="1:3" ht="15">
      <c r="A39" s="26" t="s">
        <v>45</v>
      </c>
      <c r="B39" s="16"/>
      <c r="C39" s="66"/>
    </row>
    <row r="40" spans="1:3" ht="15">
      <c r="A40" s="26" t="s">
        <v>46</v>
      </c>
      <c r="B40" s="16"/>
      <c r="C40" s="66"/>
    </row>
    <row r="41" spans="1:3" ht="15">
      <c r="A41" s="26" t="s">
        <v>27</v>
      </c>
      <c r="B41" s="16"/>
      <c r="C41" s="66">
        <v>550000</v>
      </c>
    </row>
    <row r="42" spans="1:3" ht="15">
      <c r="A42" s="26" t="s">
        <v>47</v>
      </c>
      <c r="B42" s="19"/>
      <c r="C42" s="66"/>
    </row>
    <row r="43" spans="1:3" ht="15">
      <c r="A43" s="24" t="s">
        <v>48</v>
      </c>
      <c r="B43" s="17"/>
      <c r="C43" s="25">
        <f>C44+C45+C46+C47+C48+C49+C50</f>
        <v>1000000</v>
      </c>
    </row>
    <row r="44" spans="1:3" ht="15">
      <c r="A44" s="26" t="s">
        <v>49</v>
      </c>
      <c r="B44" s="16"/>
      <c r="C44" s="66"/>
    </row>
    <row r="45" spans="1:3" ht="15">
      <c r="A45" s="26" t="s">
        <v>50</v>
      </c>
      <c r="B45" s="16"/>
      <c r="C45" s="66"/>
    </row>
    <row r="46" spans="1:3" ht="15">
      <c r="A46" s="26" t="s">
        <v>51</v>
      </c>
      <c r="B46" s="16"/>
      <c r="C46" s="66"/>
    </row>
    <row r="47" spans="1:3" ht="15">
      <c r="A47" s="26" t="s">
        <v>52</v>
      </c>
      <c r="B47" s="16"/>
      <c r="C47" s="66">
        <v>1000000</v>
      </c>
    </row>
    <row r="48" spans="1:3" ht="15">
      <c r="A48" s="26" t="s">
        <v>53</v>
      </c>
      <c r="B48" s="16"/>
      <c r="C48" s="66"/>
    </row>
    <row r="49" spans="1:3" ht="15">
      <c r="A49" s="26" t="s">
        <v>54</v>
      </c>
      <c r="B49" s="16"/>
      <c r="C49" s="66"/>
    </row>
    <row r="50" spans="1:3" ht="15">
      <c r="A50" s="26" t="s">
        <v>55</v>
      </c>
      <c r="B50" s="16"/>
      <c r="C50" s="66"/>
    </row>
    <row r="51" spans="1:3" ht="15">
      <c r="A51" s="24" t="s">
        <v>28</v>
      </c>
      <c r="B51" s="17">
        <f>B52+B53+B54+B55+B56+B57+B58+B60+B59</f>
        <v>93777387</v>
      </c>
      <c r="C51" s="17">
        <f>C52+C53+C54+C55+C56+C57+C58+C60+C59</f>
        <v>95147623.5</v>
      </c>
    </row>
    <row r="52" spans="1:3" ht="15">
      <c r="A52" s="26" t="s">
        <v>29</v>
      </c>
      <c r="B52" s="16">
        <v>19318481.44</v>
      </c>
      <c r="C52" s="73">
        <f>19318481.44+733826.94</f>
        <v>20052308.380000003</v>
      </c>
    </row>
    <row r="53" spans="1:3" ht="15">
      <c r="A53" s="26" t="s">
        <v>30</v>
      </c>
      <c r="B53" s="16">
        <v>2061782.93</v>
      </c>
      <c r="C53" s="73">
        <f>2370236.5+2061782.93+841060.16</f>
        <v>5273079.59</v>
      </c>
    </row>
    <row r="54" spans="1:3" ht="15">
      <c r="A54" s="26" t="s">
        <v>31</v>
      </c>
      <c r="B54" s="16"/>
      <c r="C54" s="73"/>
    </row>
    <row r="55" spans="1:3" ht="15">
      <c r="A55" s="26" t="s">
        <v>32</v>
      </c>
      <c r="B55" s="16">
        <v>26000000</v>
      </c>
      <c r="C55" s="73">
        <v>26000000</v>
      </c>
    </row>
    <row r="56" spans="1:3" ht="15">
      <c r="A56" s="26" t="s">
        <v>33</v>
      </c>
      <c r="B56" s="16">
        <v>622252.44</v>
      </c>
      <c r="C56" s="73">
        <f>622252.44+3500000+480000</f>
        <v>4602252.4399999995</v>
      </c>
    </row>
    <row r="57" spans="1:3" ht="15">
      <c r="A57" s="26" t="s">
        <v>56</v>
      </c>
      <c r="B57" s="16">
        <v>5237833.58</v>
      </c>
      <c r="C57" s="73">
        <f>5237833.58-1904333.58</f>
        <v>3333500</v>
      </c>
    </row>
    <row r="58" spans="1:3" ht="15">
      <c r="A58" s="26" t="s">
        <v>57</v>
      </c>
      <c r="B58" s="16"/>
      <c r="C58" s="73"/>
    </row>
    <row r="59" spans="1:3" ht="15">
      <c r="A59" s="26" t="s">
        <v>34</v>
      </c>
      <c r="B59" s="16">
        <v>40537036.61</v>
      </c>
      <c r="C59" s="73">
        <f>40537036.61-4170553.52-480000</f>
        <v>35886483.089999996</v>
      </c>
    </row>
    <row r="60" spans="1:3" ht="15">
      <c r="A60" s="26" t="s">
        <v>58</v>
      </c>
      <c r="B60" s="16"/>
      <c r="C60" s="66"/>
    </row>
    <row r="61" spans="1:3" ht="15">
      <c r="A61" s="24" t="s">
        <v>59</v>
      </c>
      <c r="B61" s="17">
        <f>B62+B63+B64+B65</f>
        <v>44988241.73</v>
      </c>
      <c r="C61" s="17">
        <f>C62+C63+C64+C65</f>
        <v>44988241.73</v>
      </c>
    </row>
    <row r="62" spans="1:3" ht="15">
      <c r="A62" s="26" t="s">
        <v>60</v>
      </c>
      <c r="B62" s="16">
        <v>41438957</v>
      </c>
      <c r="C62" s="73">
        <v>41438957</v>
      </c>
    </row>
    <row r="63" spans="1:3" ht="15">
      <c r="A63" s="26" t="s">
        <v>61</v>
      </c>
      <c r="B63" s="16">
        <v>3549284.73</v>
      </c>
      <c r="C63" s="73">
        <v>3549284.73</v>
      </c>
    </row>
    <row r="64" spans="1:3" ht="15">
      <c r="A64" s="26" t="s">
        <v>62</v>
      </c>
      <c r="B64" s="16"/>
      <c r="C64" s="66"/>
    </row>
    <row r="65" spans="1:3" ht="15">
      <c r="A65" s="26" t="s">
        <v>63</v>
      </c>
      <c r="B65" s="16"/>
      <c r="C65" s="66"/>
    </row>
    <row r="66" spans="1:3" ht="15">
      <c r="A66" s="24" t="s">
        <v>64</v>
      </c>
      <c r="B66" s="17">
        <f>B67+B68</f>
        <v>0</v>
      </c>
      <c r="C66" s="17">
        <f>C67+C68</f>
        <v>0</v>
      </c>
    </row>
    <row r="67" spans="1:3" ht="15">
      <c r="A67" s="26" t="s">
        <v>65</v>
      </c>
      <c r="B67" s="16"/>
      <c r="C67" s="66"/>
    </row>
    <row r="68" spans="1:3" ht="15">
      <c r="A68" s="26" t="s">
        <v>66</v>
      </c>
      <c r="B68" s="16"/>
      <c r="C68" s="66"/>
    </row>
    <row r="69" spans="1:3" ht="15">
      <c r="A69" s="24" t="s">
        <v>67</v>
      </c>
      <c r="B69" s="17">
        <f>B70+B71+B72</f>
        <v>0</v>
      </c>
      <c r="C69" s="17">
        <f>C70+C71+C72</f>
        <v>0</v>
      </c>
    </row>
    <row r="70" spans="1:3" ht="15">
      <c r="A70" s="26" t="s">
        <v>68</v>
      </c>
      <c r="B70" s="16"/>
      <c r="C70" s="66"/>
    </row>
    <row r="71" spans="1:3" ht="15">
      <c r="A71" s="26" t="s">
        <v>69</v>
      </c>
      <c r="B71" s="16"/>
      <c r="C71" s="66"/>
    </row>
    <row r="72" spans="1:3" ht="15">
      <c r="A72" s="26" t="s">
        <v>70</v>
      </c>
      <c r="B72" s="16"/>
      <c r="C72" s="66"/>
    </row>
    <row r="73" spans="1:3" ht="15">
      <c r="A73" s="28" t="s">
        <v>35</v>
      </c>
      <c r="B73" s="14">
        <f>B9+B15+B25+B35+B51+B61</f>
        <v>1354394259.0000002</v>
      </c>
      <c r="C73" s="14">
        <f>C9+C15+C25+C35+C51+C61+C43</f>
        <v>1547009265.0600002</v>
      </c>
    </row>
    <row r="74" spans="1:3" ht="15">
      <c r="A74" s="31"/>
      <c r="B74" s="16"/>
      <c r="C74" s="66"/>
    </row>
    <row r="75" spans="1:3" ht="15">
      <c r="A75" s="24" t="s">
        <v>71</v>
      </c>
      <c r="B75" s="17"/>
      <c r="C75" s="66"/>
    </row>
    <row r="76" spans="1:3" ht="15">
      <c r="A76" s="24" t="s">
        <v>72</v>
      </c>
      <c r="B76" s="17">
        <f>B77+B78</f>
        <v>0</v>
      </c>
      <c r="C76" s="17">
        <f>C77+C78</f>
        <v>0</v>
      </c>
    </row>
    <row r="77" spans="1:3" ht="15">
      <c r="A77" s="26" t="s">
        <v>73</v>
      </c>
      <c r="B77" s="16"/>
      <c r="C77" s="66"/>
    </row>
    <row r="78" spans="1:3" ht="15">
      <c r="A78" s="26" t="s">
        <v>74</v>
      </c>
      <c r="B78" s="16"/>
      <c r="C78" s="66"/>
    </row>
    <row r="79" spans="1:3" ht="15">
      <c r="A79" s="24" t="s">
        <v>75</v>
      </c>
      <c r="B79" s="17">
        <f>B80+B81</f>
        <v>0</v>
      </c>
      <c r="C79" s="17">
        <f>C80+C81</f>
        <v>392381.5</v>
      </c>
    </row>
    <row r="80" spans="1:3" ht="15">
      <c r="A80" s="26" t="s">
        <v>76</v>
      </c>
      <c r="B80" s="16">
        <v>0</v>
      </c>
      <c r="C80" s="16">
        <v>392381.5</v>
      </c>
    </row>
    <row r="81" spans="1:3" ht="15">
      <c r="A81" s="26" t="s">
        <v>77</v>
      </c>
      <c r="B81" s="16"/>
      <c r="C81" s="66"/>
    </row>
    <row r="82" spans="1:3" ht="15">
      <c r="A82" s="24" t="s">
        <v>78</v>
      </c>
      <c r="B82" s="17">
        <f>B83</f>
        <v>0</v>
      </c>
      <c r="C82" s="17">
        <f>C83</f>
        <v>0</v>
      </c>
    </row>
    <row r="83" spans="1:3" ht="15">
      <c r="A83" s="26" t="s">
        <v>79</v>
      </c>
      <c r="B83" s="16"/>
      <c r="C83" s="66"/>
    </row>
    <row r="84" spans="1:3" ht="15">
      <c r="A84" s="28" t="s">
        <v>80</v>
      </c>
      <c r="B84" s="14">
        <f>B76+B79+B82</f>
        <v>0</v>
      </c>
      <c r="C84" s="14">
        <f>C76+C79+C82</f>
        <v>392381.5</v>
      </c>
    </row>
    <row r="85" spans="1:3" ht="15">
      <c r="A85" s="6"/>
      <c r="B85" s="13"/>
      <c r="C85" s="66"/>
    </row>
    <row r="86" spans="1:3" ht="15.75">
      <c r="A86" s="29" t="s">
        <v>81</v>
      </c>
      <c r="B86" s="18">
        <f>+B73+B84</f>
        <v>1354394259.0000002</v>
      </c>
      <c r="C86" s="18">
        <f>+C73+C84</f>
        <v>1547401646.5600002</v>
      </c>
    </row>
    <row r="87" spans="1:3" ht="15">
      <c r="A87" s="6"/>
      <c r="B87" s="6"/>
      <c r="C87" s="66"/>
    </row>
    <row r="88" spans="1:3" ht="15">
      <c r="A88" s="10"/>
      <c r="C88" s="67"/>
    </row>
  </sheetData>
  <sheetProtection/>
  <mergeCells count="6">
    <mergeCell ref="A6:C6"/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"/>
  <sheetViews>
    <sheetView showGridLines="0" tabSelected="1" zoomScalePageLayoutView="0" workbookViewId="0" topLeftCell="A1">
      <selection activeCell="O15" sqref="O15"/>
    </sheetView>
  </sheetViews>
  <sheetFormatPr defaultColWidth="9.140625" defaultRowHeight="15"/>
  <cols>
    <col min="1" max="1" width="40.00390625" style="0" customWidth="1"/>
    <col min="2" max="2" width="17.7109375" style="48" customWidth="1"/>
    <col min="3" max="4" width="15.00390625" style="48" bestFit="1" customWidth="1"/>
    <col min="5" max="5" width="16.00390625" style="0" bestFit="1" customWidth="1"/>
    <col min="6" max="6" width="15.7109375" style="39" bestFit="1" customWidth="1"/>
    <col min="7" max="7" width="15.00390625" style="39" bestFit="1" customWidth="1"/>
    <col min="8" max="8" width="15.57421875" style="10" customWidth="1"/>
    <col min="9" max="9" width="15.00390625" style="43" bestFit="1" customWidth="1"/>
    <col min="10" max="10" width="15.00390625" style="53" bestFit="1" customWidth="1"/>
    <col min="11" max="11" width="15.00390625" style="57" bestFit="1" customWidth="1"/>
    <col min="12" max="12" width="15.00390625" style="61" bestFit="1" customWidth="1"/>
    <col min="13" max="13" width="16.00390625" style="65" bestFit="1" customWidth="1"/>
    <col min="14" max="14" width="16.00390625" style="72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83" t="s">
        <v>107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  <c r="P1" s="1" t="s">
        <v>94</v>
      </c>
    </row>
    <row r="2" spans="1:16" ht="18.75">
      <c r="A2" s="86" t="s">
        <v>108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7"/>
      <c r="P2" s="2" t="s">
        <v>96</v>
      </c>
    </row>
    <row r="3" spans="1:16" ht="18.75">
      <c r="A3" s="86" t="s">
        <v>109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7"/>
      <c r="P3" s="2" t="s">
        <v>97</v>
      </c>
    </row>
    <row r="4" spans="1:16" ht="15.75">
      <c r="A4" s="88" t="s">
        <v>104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9"/>
      <c r="P4" s="2" t="s">
        <v>95</v>
      </c>
    </row>
    <row r="5" spans="1:16" ht="15">
      <c r="A5" s="90" t="s">
        <v>36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P5" s="2" t="s">
        <v>98</v>
      </c>
    </row>
    <row r="6" spans="1:16" ht="1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P6" s="2" t="s">
        <v>99</v>
      </c>
    </row>
    <row r="7" spans="1:27" ht="15.75">
      <c r="A7" s="30" t="s">
        <v>0</v>
      </c>
      <c r="B7" s="32" t="s">
        <v>106</v>
      </c>
      <c r="C7" s="32" t="s">
        <v>82</v>
      </c>
      <c r="D7" s="32" t="s">
        <v>83</v>
      </c>
      <c r="E7" s="7" t="s">
        <v>84</v>
      </c>
      <c r="F7" s="32" t="s">
        <v>85</v>
      </c>
      <c r="G7" s="32" t="s">
        <v>86</v>
      </c>
      <c r="H7" s="7" t="s">
        <v>87</v>
      </c>
      <c r="I7" s="32" t="s">
        <v>88</v>
      </c>
      <c r="J7" s="32" t="s">
        <v>89</v>
      </c>
      <c r="K7" s="32" t="s">
        <v>90</v>
      </c>
      <c r="L7" s="32" t="s">
        <v>91</v>
      </c>
      <c r="M7" s="32" t="s">
        <v>92</v>
      </c>
      <c r="N7" s="32" t="s">
        <v>93</v>
      </c>
      <c r="Z7" s="5">
        <f>SUM(R8:Z8)</f>
        <v>11.029108875781253</v>
      </c>
      <c r="AA7" s="5">
        <f>+Z7+AA8</f>
        <v>13.989108875781252</v>
      </c>
    </row>
    <row r="8" spans="1:27" ht="15">
      <c r="A8" s="24" t="s">
        <v>1</v>
      </c>
      <c r="B8" s="25">
        <f>+C8+D8+E8+F8+G8+H8+I8+J8+K8+L8+M8+N8</f>
        <v>1026852442.78</v>
      </c>
      <c r="C8" s="8">
        <f aca="true" t="shared" si="0" ref="C8:M8">+C9+C15+C25+C35+C51+C61+C66+C69</f>
        <v>36590981.69</v>
      </c>
      <c r="D8" s="8">
        <f t="shared" si="0"/>
        <v>90393374.72</v>
      </c>
      <c r="E8" s="8">
        <f t="shared" si="0"/>
        <v>149962324.30000004</v>
      </c>
      <c r="F8" s="8">
        <f t="shared" si="0"/>
        <v>130660767.95</v>
      </c>
      <c r="G8" s="8">
        <f t="shared" si="0"/>
        <v>96651339.35</v>
      </c>
      <c r="H8" s="8">
        <f t="shared" si="0"/>
        <v>129291229.23</v>
      </c>
      <c r="I8" s="8">
        <f t="shared" si="0"/>
        <v>117573546.38000003</v>
      </c>
      <c r="J8" s="8">
        <f t="shared" si="0"/>
        <v>111311409.85</v>
      </c>
      <c r="K8" s="8">
        <f>+K9+K15+K25+K35+K43+K51+K61+K66+K69</f>
        <v>164417469.31</v>
      </c>
      <c r="L8" s="8">
        <f t="shared" si="0"/>
        <v>0</v>
      </c>
      <c r="M8" s="8">
        <f t="shared" si="0"/>
        <v>0</v>
      </c>
      <c r="N8" s="8">
        <f>+N9+N15+N25+N35+N51+N61+N66+N69</f>
        <v>0</v>
      </c>
      <c r="R8" s="3">
        <v>1</v>
      </c>
      <c r="S8" s="3">
        <v>1.05</v>
      </c>
      <c r="T8" s="3">
        <f aca="true" t="shared" si="1" ref="T8:Y8">+S8*1.05</f>
        <v>1.1025</v>
      </c>
      <c r="U8" s="3">
        <f t="shared" si="1"/>
        <v>1.1576250000000001</v>
      </c>
      <c r="V8" s="3">
        <f t="shared" si="1"/>
        <v>1.2155062500000002</v>
      </c>
      <c r="W8" s="3">
        <f t="shared" si="1"/>
        <v>1.2762815625000004</v>
      </c>
      <c r="X8" s="3">
        <f t="shared" si="1"/>
        <v>1.3400956406250004</v>
      </c>
      <c r="Y8" s="3">
        <f t="shared" si="1"/>
        <v>1.4071004226562505</v>
      </c>
      <c r="Z8" s="3">
        <v>1.48</v>
      </c>
      <c r="AA8" s="3">
        <f>+Z8*2</f>
        <v>2.96</v>
      </c>
    </row>
    <row r="9" spans="1:18" ht="30">
      <c r="A9" s="24" t="s">
        <v>2</v>
      </c>
      <c r="B9" s="25">
        <f>+C9+D9+E9+F9+G9+H9+I9+J9+K9+L9+M9+N9</f>
        <v>377152340.28000003</v>
      </c>
      <c r="C9" s="25">
        <f aca="true" t="shared" si="2" ref="C9:N9">C10+C11+C12+C13+C14</f>
        <v>36590981.69</v>
      </c>
      <c r="D9" s="25">
        <f t="shared" si="2"/>
        <v>41025203.14</v>
      </c>
      <c r="E9" s="25">
        <f t="shared" si="2"/>
        <v>43484816.230000004</v>
      </c>
      <c r="F9" s="25">
        <f t="shared" si="2"/>
        <v>42888486.9</v>
      </c>
      <c r="G9" s="25">
        <f>G10+G11+G12+G13+G14</f>
        <v>44461460.20999999</v>
      </c>
      <c r="H9" s="25">
        <f t="shared" si="2"/>
        <v>42237092.62</v>
      </c>
      <c r="I9" s="25">
        <f t="shared" si="2"/>
        <v>43440271.56</v>
      </c>
      <c r="J9" s="25">
        <f t="shared" si="2"/>
        <v>40842803.440000005</v>
      </c>
      <c r="K9" s="25">
        <f t="shared" si="2"/>
        <v>42181224.49</v>
      </c>
      <c r="L9" s="25">
        <f t="shared" si="2"/>
        <v>0</v>
      </c>
      <c r="M9" s="25">
        <f t="shared" si="2"/>
        <v>0</v>
      </c>
      <c r="N9" s="25">
        <f t="shared" si="2"/>
        <v>0</v>
      </c>
      <c r="R9" s="4"/>
    </row>
    <row r="10" spans="1:14" ht="15">
      <c r="A10" s="26" t="s">
        <v>3</v>
      </c>
      <c r="B10" s="40">
        <f>+C10+D10+E10+F10+G10+H10+I10+J10+K10+L10+M10+N10</f>
        <v>312743781.95000005</v>
      </c>
      <c r="C10" s="27">
        <v>30707374.84</v>
      </c>
      <c r="D10" s="40">
        <v>34382136.51</v>
      </c>
      <c r="E10" s="20">
        <v>36237874.53</v>
      </c>
      <c r="F10" s="33">
        <v>35192344.11</v>
      </c>
      <c r="G10" s="20">
        <v>36472683.44</v>
      </c>
      <c r="H10" s="20">
        <v>34685856.72</v>
      </c>
      <c r="I10" s="34">
        <v>35830525.57</v>
      </c>
      <c r="J10" s="49">
        <v>33908138.45</v>
      </c>
      <c r="K10" s="50">
        <v>35326847.78</v>
      </c>
      <c r="L10" s="54"/>
      <c r="M10" s="58"/>
      <c r="N10" s="66"/>
    </row>
    <row r="11" spans="1:14" ht="15">
      <c r="A11" s="26" t="s">
        <v>4</v>
      </c>
      <c r="B11" s="40">
        <f>+C11+D11+E11+F11+G11+H11+I11+J11+K11+L11+M11+N11</f>
        <v>18548554</v>
      </c>
      <c r="C11" s="44">
        <v>1381982.67</v>
      </c>
      <c r="D11" s="49">
        <v>1588282.67</v>
      </c>
      <c r="E11" s="13">
        <v>2090532.67</v>
      </c>
      <c r="F11" s="34">
        <v>2475851</v>
      </c>
      <c r="G11" s="34">
        <v>2633701</v>
      </c>
      <c r="H11" s="13">
        <v>2542601</v>
      </c>
      <c r="I11" s="40">
        <v>2372950.99</v>
      </c>
      <c r="J11" s="50">
        <v>1904751</v>
      </c>
      <c r="K11" s="54">
        <v>1557901</v>
      </c>
      <c r="L11" s="58"/>
      <c r="M11" s="62"/>
      <c r="N11" s="69"/>
    </row>
    <row r="12" spans="1:14" ht="30">
      <c r="A12" s="26" t="s">
        <v>40</v>
      </c>
      <c r="B12" s="40">
        <f>+C12+D12+E12+F12+G12+H12+I12+J12+K12+L12+N12</f>
        <v>300000</v>
      </c>
      <c r="C12" s="44"/>
      <c r="D12" s="49">
        <v>37500</v>
      </c>
      <c r="E12" s="6"/>
      <c r="F12" s="34">
        <v>37500</v>
      </c>
      <c r="G12" s="34">
        <v>75000</v>
      </c>
      <c r="H12" s="6"/>
      <c r="I12" s="40">
        <v>37500</v>
      </c>
      <c r="J12" s="50">
        <v>37500</v>
      </c>
      <c r="K12" s="54">
        <v>75000</v>
      </c>
      <c r="L12" s="58"/>
      <c r="M12" s="62"/>
      <c r="N12" s="69"/>
    </row>
    <row r="13" spans="1:14" ht="30">
      <c r="A13" s="26" t="s">
        <v>5</v>
      </c>
      <c r="B13" s="40">
        <f>+C13+D13+E13+F13+G13+H13+I13</f>
        <v>0</v>
      </c>
      <c r="C13" s="44"/>
      <c r="D13" s="49"/>
      <c r="E13" s="6"/>
      <c r="F13" s="34"/>
      <c r="G13" s="34"/>
      <c r="H13" s="6"/>
      <c r="I13" s="40"/>
      <c r="J13" s="50"/>
      <c r="K13" s="54"/>
      <c r="L13" s="58"/>
      <c r="M13" s="62"/>
      <c r="N13" s="69"/>
    </row>
    <row r="14" spans="1:14" ht="30">
      <c r="A14" s="26" t="s">
        <v>6</v>
      </c>
      <c r="B14" s="40">
        <f aca="true" t="shared" si="3" ref="B14:B23">+C14+D14+E14+F14+G14+H14+I14+J14+K14+L14+M14+N14</f>
        <v>45560004.330000006</v>
      </c>
      <c r="C14" s="44">
        <v>4501624.18</v>
      </c>
      <c r="D14" s="49">
        <v>5017283.96</v>
      </c>
      <c r="E14" s="13">
        <v>5156409.03</v>
      </c>
      <c r="F14" s="34">
        <v>5182791.79</v>
      </c>
      <c r="G14" s="34">
        <v>5280075.77</v>
      </c>
      <c r="H14" s="13">
        <v>5008634.9</v>
      </c>
      <c r="I14" s="40">
        <v>5199295</v>
      </c>
      <c r="J14" s="50">
        <v>4992413.99</v>
      </c>
      <c r="K14" s="54">
        <v>5221475.71</v>
      </c>
      <c r="L14" s="58"/>
      <c r="M14" s="62"/>
      <c r="N14" s="69"/>
    </row>
    <row r="15" spans="1:14" ht="15">
      <c r="A15" s="24" t="s">
        <v>7</v>
      </c>
      <c r="B15" s="25">
        <f t="shared" si="3"/>
        <v>578578728.99</v>
      </c>
      <c r="C15" s="25">
        <f aca="true" t="shared" si="4" ref="C15:N15">C16+C17+C18+C19+C20+C21+C22+C23+C24</f>
        <v>0</v>
      </c>
      <c r="D15" s="25">
        <f t="shared" si="4"/>
        <v>45917089.48</v>
      </c>
      <c r="E15" s="25">
        <f t="shared" si="4"/>
        <v>102385153.05000001</v>
      </c>
      <c r="F15" s="25">
        <f t="shared" si="4"/>
        <v>71337175.15</v>
      </c>
      <c r="G15" s="25">
        <f t="shared" si="4"/>
        <v>49692221.419999994</v>
      </c>
      <c r="H15" s="21">
        <f t="shared" si="4"/>
        <v>74882499.25</v>
      </c>
      <c r="I15" s="21">
        <f t="shared" si="4"/>
        <v>58615218.550000004</v>
      </c>
      <c r="J15" s="25">
        <f t="shared" si="4"/>
        <v>64876278.57</v>
      </c>
      <c r="K15" s="25">
        <f t="shared" si="4"/>
        <v>110873093.52000001</v>
      </c>
      <c r="L15" s="25">
        <f t="shared" si="4"/>
        <v>0</v>
      </c>
      <c r="M15" s="25">
        <f t="shared" si="4"/>
        <v>0</v>
      </c>
      <c r="N15" s="25">
        <f t="shared" si="4"/>
        <v>0</v>
      </c>
    </row>
    <row r="16" spans="1:14" ht="15">
      <c r="A16" s="26" t="s">
        <v>8</v>
      </c>
      <c r="B16" s="40">
        <f t="shared" si="3"/>
        <v>16644609.719999999</v>
      </c>
      <c r="C16" s="44"/>
      <c r="D16" s="49">
        <v>1606837.58</v>
      </c>
      <c r="E16" s="13">
        <v>1292047.75</v>
      </c>
      <c r="F16" s="34">
        <v>2160723.52</v>
      </c>
      <c r="G16" s="34">
        <v>1937462.5</v>
      </c>
      <c r="H16" s="13">
        <v>2075819.5</v>
      </c>
      <c r="I16" s="40">
        <v>2705672.22</v>
      </c>
      <c r="J16" s="50">
        <v>2432233.36</v>
      </c>
      <c r="K16" s="54">
        <v>2433813.29</v>
      </c>
      <c r="L16" s="58"/>
      <c r="M16" s="62"/>
      <c r="N16" s="69"/>
    </row>
    <row r="17" spans="1:14" ht="30">
      <c r="A17" s="26" t="s">
        <v>9</v>
      </c>
      <c r="B17" s="40">
        <f t="shared" si="3"/>
        <v>41088802.85</v>
      </c>
      <c r="C17" s="44"/>
      <c r="D17" s="49">
        <f>2248682.93+6928270.88</f>
        <v>9176953.81</v>
      </c>
      <c r="E17" s="13">
        <v>1262571.09</v>
      </c>
      <c r="F17" s="34">
        <v>7986831.16</v>
      </c>
      <c r="G17" s="34">
        <v>1617825.91</v>
      </c>
      <c r="H17" s="13">
        <v>3468298.04</v>
      </c>
      <c r="I17" s="40">
        <v>1020880.31</v>
      </c>
      <c r="J17" s="50">
        <v>3831370.64</v>
      </c>
      <c r="K17" s="54">
        <v>12724071.89</v>
      </c>
      <c r="L17" s="58"/>
      <c r="M17" s="62"/>
      <c r="N17" s="69"/>
    </row>
    <row r="18" spans="1:14" ht="15">
      <c r="A18" s="26" t="s">
        <v>10</v>
      </c>
      <c r="B18" s="40">
        <f t="shared" si="3"/>
        <v>5860400.28</v>
      </c>
      <c r="C18" s="44"/>
      <c r="D18" s="49">
        <v>77250</v>
      </c>
      <c r="E18" s="13">
        <v>544963.53</v>
      </c>
      <c r="F18" s="34">
        <v>1374982.8</v>
      </c>
      <c r="G18" s="34">
        <v>1445825.87</v>
      </c>
      <c r="H18" s="13">
        <v>768314.24</v>
      </c>
      <c r="I18" s="40">
        <v>492500</v>
      </c>
      <c r="J18" s="50">
        <v>579745.84</v>
      </c>
      <c r="K18" s="54">
        <v>576818</v>
      </c>
      <c r="L18" s="58"/>
      <c r="M18" s="62"/>
      <c r="N18" s="69"/>
    </row>
    <row r="19" spans="1:14" ht="15">
      <c r="A19" s="26" t="s">
        <v>11</v>
      </c>
      <c r="B19" s="40">
        <f t="shared" si="3"/>
        <v>2682966.86</v>
      </c>
      <c r="C19" s="44"/>
      <c r="D19" s="49">
        <v>112546</v>
      </c>
      <c r="E19" s="13">
        <v>243328</v>
      </c>
      <c r="F19" s="34">
        <v>19460</v>
      </c>
      <c r="G19" s="34">
        <f>25010+36000</f>
        <v>61010</v>
      </c>
      <c r="H19" s="13">
        <v>1042684.86</v>
      </c>
      <c r="I19" s="40">
        <v>713956</v>
      </c>
      <c r="J19" s="50">
        <v>287810</v>
      </c>
      <c r="K19" s="54">
        <v>202172</v>
      </c>
      <c r="L19" s="58"/>
      <c r="M19" s="62"/>
      <c r="N19" s="69"/>
    </row>
    <row r="20" spans="1:14" ht="15">
      <c r="A20" s="26" t="s">
        <v>12</v>
      </c>
      <c r="B20" s="40">
        <f t="shared" si="3"/>
        <v>1544079.69</v>
      </c>
      <c r="C20" s="44"/>
      <c r="D20" s="49">
        <v>249860</v>
      </c>
      <c r="E20" s="13">
        <v>465660.31</v>
      </c>
      <c r="F20" s="34">
        <v>150031.78</v>
      </c>
      <c r="G20" s="34">
        <v>154049.36</v>
      </c>
      <c r="H20" s="13">
        <v>119830.01</v>
      </c>
      <c r="I20" s="40">
        <v>199500</v>
      </c>
      <c r="J20" s="50">
        <v>205148.23</v>
      </c>
      <c r="K20" s="54"/>
      <c r="L20" s="58"/>
      <c r="M20" s="62"/>
      <c r="N20" s="69"/>
    </row>
    <row r="21" spans="1:14" ht="15">
      <c r="A21" s="26" t="s">
        <v>13</v>
      </c>
      <c r="B21" s="40">
        <f t="shared" si="3"/>
        <v>4733417.88</v>
      </c>
      <c r="C21" s="44"/>
      <c r="D21" s="49"/>
      <c r="E21" s="13">
        <v>1885967.68</v>
      </c>
      <c r="F21" s="34"/>
      <c r="G21" s="34"/>
      <c r="H21" s="6"/>
      <c r="I21" s="40">
        <v>2847450.2</v>
      </c>
      <c r="J21" s="50"/>
      <c r="K21" s="54"/>
      <c r="L21" s="58"/>
      <c r="M21" s="62"/>
      <c r="N21" s="69"/>
    </row>
    <row r="22" spans="1:14" ht="45">
      <c r="A22" s="26" t="s">
        <v>14</v>
      </c>
      <c r="B22" s="40">
        <f t="shared" si="3"/>
        <v>8279354.740000002</v>
      </c>
      <c r="C22" s="44"/>
      <c r="D22" s="49">
        <v>34112.69</v>
      </c>
      <c r="E22" s="13">
        <f>5062730.11+1553250.88</f>
        <v>6615980.99</v>
      </c>
      <c r="F22" s="34">
        <f>985839.13+155484.62</f>
        <v>1141323.75</v>
      </c>
      <c r="G22" s="34">
        <v>133492.66</v>
      </c>
      <c r="H22" s="13">
        <v>49755.36</v>
      </c>
      <c r="I22" s="40">
        <v>123193.4</v>
      </c>
      <c r="J22" s="50">
        <v>116765.28</v>
      </c>
      <c r="K22" s="54">
        <v>64730.61</v>
      </c>
      <c r="L22" s="58"/>
      <c r="M22" s="62"/>
      <c r="N22" s="69"/>
    </row>
    <row r="23" spans="1:14" ht="30">
      <c r="A23" s="26" t="s">
        <v>15</v>
      </c>
      <c r="B23" s="40">
        <f t="shared" si="3"/>
        <v>497517402.54</v>
      </c>
      <c r="C23" s="44"/>
      <c r="D23" s="49">
        <f>45000+34591519.4</f>
        <v>34636519.4</v>
      </c>
      <c r="E23" s="13">
        <f>1244814+88829819.7</f>
        <v>90074633.7</v>
      </c>
      <c r="F23" s="34">
        <f>718270.69+57765555</f>
        <v>58483825.69</v>
      </c>
      <c r="G23" s="34">
        <f>811151.39+43430446.41</f>
        <v>44241597.8</v>
      </c>
      <c r="H23" s="13">
        <v>67331837.24</v>
      </c>
      <c r="I23" s="40">
        <v>50512066.42</v>
      </c>
      <c r="J23" s="50">
        <v>57365434.56</v>
      </c>
      <c r="K23" s="54">
        <v>94871487.73</v>
      </c>
      <c r="L23" s="58"/>
      <c r="M23" s="62"/>
      <c r="N23" s="69"/>
    </row>
    <row r="24" spans="1:14" ht="30">
      <c r="A24" s="26" t="s">
        <v>41</v>
      </c>
      <c r="B24" s="40">
        <f>+C24+D24+E24+F24+G24+H24+I24</f>
        <v>169923.77000000002</v>
      </c>
      <c r="C24" s="44"/>
      <c r="D24" s="49">
        <v>23010</v>
      </c>
      <c r="E24" s="6"/>
      <c r="F24" s="34">
        <v>19996.45</v>
      </c>
      <c r="G24" s="34">
        <f>16957.32+84000</f>
        <v>100957.32</v>
      </c>
      <c r="H24" s="13">
        <v>25960</v>
      </c>
      <c r="I24" s="40"/>
      <c r="J24" s="50">
        <v>57770.66</v>
      </c>
      <c r="K24" s="54"/>
      <c r="L24" s="58"/>
      <c r="M24" s="62"/>
      <c r="N24" s="69"/>
    </row>
    <row r="25" spans="1:14" ht="15">
      <c r="A25" s="24" t="s">
        <v>16</v>
      </c>
      <c r="B25" s="25">
        <f>+C25+D25+E25+F25+G25+H25+I25+J25+K25+L25+M25+N25</f>
        <v>22365716.259999998</v>
      </c>
      <c r="C25" s="15"/>
      <c r="D25" s="25">
        <f aca="true" t="shared" si="5" ref="D25:N25">D26+D27+D28+D29+D30+D31+D32+D33+D34</f>
        <v>3451082.1</v>
      </c>
      <c r="E25" s="25">
        <f t="shared" si="5"/>
        <v>1722118.52</v>
      </c>
      <c r="F25" s="25">
        <f t="shared" si="5"/>
        <v>4563967.569999999</v>
      </c>
      <c r="G25" s="25">
        <f>G26+G27+G28+G29+G30+G31+G32+G33+G34</f>
        <v>2173514.37</v>
      </c>
      <c r="H25" s="21">
        <f t="shared" si="5"/>
        <v>1321528.2000000002</v>
      </c>
      <c r="I25" s="21">
        <f t="shared" si="5"/>
        <v>5620758.43</v>
      </c>
      <c r="J25" s="25">
        <f t="shared" si="5"/>
        <v>1759264.1199999999</v>
      </c>
      <c r="K25" s="25">
        <f t="shared" si="5"/>
        <v>1753482.95</v>
      </c>
      <c r="L25" s="25">
        <f t="shared" si="5"/>
        <v>0</v>
      </c>
      <c r="M25" s="25">
        <f t="shared" si="5"/>
        <v>0</v>
      </c>
      <c r="N25" s="25">
        <f t="shared" si="5"/>
        <v>0</v>
      </c>
    </row>
    <row r="26" spans="1:14" ht="30">
      <c r="A26" s="26" t="s">
        <v>17</v>
      </c>
      <c r="B26" s="40">
        <f>+C26+D26+E26+F26+G26+H26+I26+J26+K26+L26+M26+N26</f>
        <v>1882379.37</v>
      </c>
      <c r="C26" s="44"/>
      <c r="D26" s="49"/>
      <c r="E26" s="13">
        <v>351985.9</v>
      </c>
      <c r="F26" s="34">
        <f>6845.12+118320</f>
        <v>125165.12</v>
      </c>
      <c r="G26" s="34">
        <f>487296.4+9794</f>
        <v>497090.4</v>
      </c>
      <c r="H26" s="13">
        <v>194721.03</v>
      </c>
      <c r="I26" s="40"/>
      <c r="J26" s="50">
        <v>378026.4</v>
      </c>
      <c r="K26" s="54">
        <v>335390.52</v>
      </c>
      <c r="L26" s="58"/>
      <c r="M26" s="62"/>
      <c r="N26" s="69"/>
    </row>
    <row r="27" spans="1:14" ht="15">
      <c r="A27" s="26" t="s">
        <v>18</v>
      </c>
      <c r="B27" s="40">
        <f>+C27+D27+E27+F27+G27+H27+I27+J27+K27+L27+M27+N27</f>
        <v>2468362.2</v>
      </c>
      <c r="C27" s="44"/>
      <c r="D27" s="49"/>
      <c r="E27" s="6"/>
      <c r="F27" s="34">
        <f>500+2180050</f>
        <v>2180550</v>
      </c>
      <c r="G27" s="34">
        <v>226501</v>
      </c>
      <c r="H27" s="13">
        <v>395</v>
      </c>
      <c r="I27" s="40"/>
      <c r="J27" s="50">
        <v>972.2</v>
      </c>
      <c r="K27" s="54">
        <v>59944</v>
      </c>
      <c r="L27" s="58"/>
      <c r="M27" s="62"/>
      <c r="N27" s="69"/>
    </row>
    <row r="28" spans="1:14" ht="30">
      <c r="A28" s="26" t="s">
        <v>19</v>
      </c>
      <c r="B28" s="40">
        <f>+C28+D28+E28+F28+G28+H28+I28+J28+K28+L28+M28+N28</f>
        <v>1157663.68</v>
      </c>
      <c r="C28" s="44"/>
      <c r="D28" s="49">
        <v>6573</v>
      </c>
      <c r="E28" s="13">
        <v>391829</v>
      </c>
      <c r="F28" s="34"/>
      <c r="G28" s="34">
        <v>27293.4</v>
      </c>
      <c r="H28" s="13">
        <v>294947.55</v>
      </c>
      <c r="I28" s="40"/>
      <c r="J28" s="50">
        <v>46275.53</v>
      </c>
      <c r="K28" s="54">
        <v>390745.2</v>
      </c>
      <c r="L28" s="58"/>
      <c r="M28" s="62"/>
      <c r="N28" s="69"/>
    </row>
    <row r="29" spans="1:14" ht="15">
      <c r="A29" s="26" t="s">
        <v>20</v>
      </c>
      <c r="B29" s="40">
        <f>+C29+D29+E29+F29+G29+H29+I29</f>
        <v>0</v>
      </c>
      <c r="C29" s="44"/>
      <c r="D29" s="49"/>
      <c r="E29" s="6"/>
      <c r="F29" s="34"/>
      <c r="G29" s="34"/>
      <c r="H29" s="6"/>
      <c r="I29" s="40"/>
      <c r="J29" s="50"/>
      <c r="K29" s="54"/>
      <c r="L29" s="58"/>
      <c r="M29" s="62"/>
      <c r="N29" s="69"/>
    </row>
    <row r="30" spans="1:14" ht="30">
      <c r="A30" s="26" t="s">
        <v>21</v>
      </c>
      <c r="B30" s="40">
        <f>+C30+D30+E30+F30+G30+H30+I30+J30+K30+L30+M30+N30</f>
        <v>2057870.06</v>
      </c>
      <c r="C30" s="44"/>
      <c r="D30" s="49"/>
      <c r="E30" s="13">
        <v>235990.32</v>
      </c>
      <c r="F30" s="34">
        <f>6191.18+1135750</f>
        <v>1141941.18</v>
      </c>
      <c r="G30" s="34">
        <v>112445.74</v>
      </c>
      <c r="H30" s="13">
        <v>87932.61</v>
      </c>
      <c r="I30" s="40"/>
      <c r="J30" s="50">
        <v>379334.55</v>
      </c>
      <c r="K30" s="54">
        <v>100225.66</v>
      </c>
      <c r="L30" s="58"/>
      <c r="M30" s="62"/>
      <c r="N30" s="69"/>
    </row>
    <row r="31" spans="1:14" ht="30">
      <c r="A31" s="26" t="s">
        <v>22</v>
      </c>
      <c r="B31" s="40">
        <f>+C31+D31+E31+F31+G32+H31+I31+J31+K31+L31+M31+N31</f>
        <v>2922831.51</v>
      </c>
      <c r="C31" s="44"/>
      <c r="D31" s="49">
        <v>2391152</v>
      </c>
      <c r="E31" s="6"/>
      <c r="F31" s="34">
        <v>12278.52</v>
      </c>
      <c r="H31" s="13">
        <v>58153.04</v>
      </c>
      <c r="I31" s="40"/>
      <c r="J31" s="50">
        <v>6536.96</v>
      </c>
      <c r="K31" s="54"/>
      <c r="L31" s="58"/>
      <c r="M31" s="62"/>
      <c r="N31" s="69"/>
    </row>
    <row r="32" spans="1:14" ht="30">
      <c r="A32" s="26" t="s">
        <v>23</v>
      </c>
      <c r="B32" s="40">
        <f>+C32+D32+E32+F32+G32+H32+I32+J32+K32+L32+M32+N32</f>
        <v>6646954.03</v>
      </c>
      <c r="C32" s="44"/>
      <c r="D32" s="49">
        <v>933852.6</v>
      </c>
      <c r="E32" s="13">
        <v>629700</v>
      </c>
      <c r="F32" s="34">
        <v>989364.07</v>
      </c>
      <c r="G32" s="34">
        <v>454710.99</v>
      </c>
      <c r="H32" s="13">
        <v>9196.54</v>
      </c>
      <c r="I32" s="40">
        <v>2320310.34</v>
      </c>
      <c r="J32" s="50">
        <v>680119.49</v>
      </c>
      <c r="K32" s="54">
        <v>629700</v>
      </c>
      <c r="L32" s="58"/>
      <c r="M32" s="62"/>
      <c r="N32" s="69"/>
    </row>
    <row r="33" spans="1:14" ht="45">
      <c r="A33" s="26" t="s">
        <v>42</v>
      </c>
      <c r="B33" s="40">
        <f>+C33+D33+E33+F33+G33+H33+I33</f>
        <v>0</v>
      </c>
      <c r="C33" s="44"/>
      <c r="D33" s="49"/>
      <c r="E33" s="6"/>
      <c r="F33" s="34"/>
      <c r="G33" s="34"/>
      <c r="H33" s="6"/>
      <c r="I33" s="40"/>
      <c r="J33" s="50"/>
      <c r="K33" s="54"/>
      <c r="L33" s="58"/>
      <c r="M33" s="62"/>
      <c r="N33" s="69"/>
    </row>
    <row r="34" spans="1:14" ht="15">
      <c r="A34" s="26" t="s">
        <v>24</v>
      </c>
      <c r="B34" s="40">
        <f>+C34+D34+E34+F34+G34+H34+I34+J34+K34+L34+M34+N34</f>
        <v>5684366.4</v>
      </c>
      <c r="C34" s="44"/>
      <c r="D34" s="49">
        <v>119504.5</v>
      </c>
      <c r="E34" s="13">
        <v>112613.3</v>
      </c>
      <c r="F34" s="34">
        <f>11418.68+103250</f>
        <v>114668.68</v>
      </c>
      <c r="G34" s="34">
        <f>9533.22+845939.62</f>
        <v>855472.84</v>
      </c>
      <c r="H34" s="13">
        <v>676182.43</v>
      </c>
      <c r="I34" s="40">
        <v>3300448.09</v>
      </c>
      <c r="J34" s="50">
        <v>267998.99</v>
      </c>
      <c r="K34" s="54">
        <v>237477.57</v>
      </c>
      <c r="L34" s="58"/>
      <c r="M34" s="62"/>
      <c r="N34" s="69"/>
    </row>
    <row r="35" spans="1:14" ht="15">
      <c r="A35" s="24" t="s">
        <v>25</v>
      </c>
      <c r="B35" s="25">
        <f>+C35+D35+E35+F35+G35+H35+I35+J35+K35</f>
        <v>1440002.49</v>
      </c>
      <c r="C35" s="15"/>
      <c r="D35" s="49"/>
      <c r="E35" s="6"/>
      <c r="F35" s="25">
        <f>F36+F37+F38+F39+F40+F41+F42</f>
        <v>165583</v>
      </c>
      <c r="G35" s="34">
        <f>G36</f>
        <v>0</v>
      </c>
      <c r="H35" s="6"/>
      <c r="I35" s="25">
        <f>I36+I37+I38+I39+I40+I41+I42</f>
        <v>699897.5</v>
      </c>
      <c r="J35" s="25">
        <f>J36+J37+J38+J39+J40+J41+J42</f>
        <v>527659.99</v>
      </c>
      <c r="K35" s="25">
        <f>K36+K37+K38+K39+K40+K41+K42</f>
        <v>46862</v>
      </c>
      <c r="L35" s="58"/>
      <c r="M35" s="62"/>
      <c r="N35" s="69"/>
    </row>
    <row r="36" spans="1:14" ht="30">
      <c r="A36" s="26" t="s">
        <v>26</v>
      </c>
      <c r="B36" s="40">
        <f>+C36+D36+E36+F36+G36+H36+I36+J36</f>
        <v>877980.5</v>
      </c>
      <c r="C36" s="44"/>
      <c r="D36" s="49"/>
      <c r="E36" s="6"/>
      <c r="F36" s="34">
        <v>165583</v>
      </c>
      <c r="G36" s="34"/>
      <c r="H36" s="6"/>
      <c r="I36" s="40">
        <v>699897.5</v>
      </c>
      <c r="J36" s="50">
        <v>12500</v>
      </c>
      <c r="K36" s="54">
        <v>46862</v>
      </c>
      <c r="L36" s="58"/>
      <c r="M36" s="62"/>
      <c r="N36" s="69"/>
    </row>
    <row r="37" spans="1:14" ht="30">
      <c r="A37" s="26" t="s">
        <v>43</v>
      </c>
      <c r="B37" s="40">
        <f aca="true" t="shared" si="6" ref="B37:B50">+C37+D37+E37+F37+G37+H37+I37</f>
        <v>0</v>
      </c>
      <c r="C37" s="44"/>
      <c r="D37" s="49"/>
      <c r="E37" s="6"/>
      <c r="F37" s="34"/>
      <c r="G37" s="34"/>
      <c r="H37" s="6"/>
      <c r="I37" s="40"/>
      <c r="J37" s="50"/>
      <c r="K37" s="54"/>
      <c r="L37" s="58"/>
      <c r="M37" s="62"/>
      <c r="N37" s="69"/>
    </row>
    <row r="38" spans="1:14" ht="30">
      <c r="A38" s="26" t="s">
        <v>44</v>
      </c>
      <c r="B38" s="40">
        <f t="shared" si="6"/>
        <v>0</v>
      </c>
      <c r="C38" s="44"/>
      <c r="D38" s="49"/>
      <c r="E38" s="6"/>
      <c r="F38" s="34"/>
      <c r="G38" s="34"/>
      <c r="H38" s="6"/>
      <c r="I38" s="40"/>
      <c r="J38" s="50"/>
      <c r="K38" s="54"/>
      <c r="L38" s="58"/>
      <c r="M38" s="62"/>
      <c r="N38" s="69"/>
    </row>
    <row r="39" spans="1:14" ht="30">
      <c r="A39" s="26" t="s">
        <v>45</v>
      </c>
      <c r="B39" s="40">
        <f t="shared" si="6"/>
        <v>0</v>
      </c>
      <c r="C39" s="44"/>
      <c r="D39" s="49"/>
      <c r="E39" s="6"/>
      <c r="F39" s="34"/>
      <c r="G39" s="34"/>
      <c r="H39" s="6"/>
      <c r="I39" s="40"/>
      <c r="J39" s="50"/>
      <c r="K39" s="54"/>
      <c r="L39" s="58"/>
      <c r="M39" s="62"/>
      <c r="N39" s="69"/>
    </row>
    <row r="40" spans="1:14" ht="30">
      <c r="A40" s="26" t="s">
        <v>46</v>
      </c>
      <c r="B40" s="40">
        <f t="shared" si="6"/>
        <v>0</v>
      </c>
      <c r="C40" s="44"/>
      <c r="D40" s="49"/>
      <c r="E40" s="6"/>
      <c r="F40" s="34"/>
      <c r="G40" s="34"/>
      <c r="H40" s="6"/>
      <c r="I40" s="40"/>
      <c r="J40" s="50"/>
      <c r="K40" s="54"/>
      <c r="L40" s="58"/>
      <c r="M40" s="62"/>
      <c r="N40" s="69"/>
    </row>
    <row r="41" spans="1:14" ht="30">
      <c r="A41" s="26" t="s">
        <v>27</v>
      </c>
      <c r="B41" s="40">
        <f t="shared" si="6"/>
        <v>0</v>
      </c>
      <c r="C41" s="44"/>
      <c r="D41" s="49"/>
      <c r="E41" s="6"/>
      <c r="F41" s="34"/>
      <c r="G41" s="34"/>
      <c r="H41" s="6"/>
      <c r="I41" s="40"/>
      <c r="J41" s="50">
        <v>515159.99</v>
      </c>
      <c r="K41" s="54"/>
      <c r="L41" s="58"/>
      <c r="M41" s="62"/>
      <c r="N41" s="69"/>
    </row>
    <row r="42" spans="1:14" ht="30">
      <c r="A42" s="26" t="s">
        <v>47</v>
      </c>
      <c r="B42" s="40">
        <f t="shared" si="6"/>
        <v>0</v>
      </c>
      <c r="C42" s="44"/>
      <c r="D42" s="49"/>
      <c r="E42" s="6"/>
      <c r="F42" s="34"/>
      <c r="G42" s="34"/>
      <c r="H42" s="6"/>
      <c r="I42" s="40"/>
      <c r="J42" s="50"/>
      <c r="K42" s="54"/>
      <c r="L42" s="58"/>
      <c r="M42" s="62"/>
      <c r="N42" s="69"/>
    </row>
    <row r="43" spans="1:14" ht="15">
      <c r="A43" s="24" t="s">
        <v>48</v>
      </c>
      <c r="B43" s="40">
        <f t="shared" si="6"/>
        <v>0</v>
      </c>
      <c r="C43" s="15"/>
      <c r="D43" s="49"/>
      <c r="E43" s="6"/>
      <c r="F43" s="34"/>
      <c r="G43" s="34"/>
      <c r="H43" s="6"/>
      <c r="I43" s="40"/>
      <c r="J43" s="50"/>
      <c r="K43" s="25">
        <f>K44+K45+K46+K47+K48+K49+K50</f>
        <v>1000000</v>
      </c>
      <c r="L43" s="58"/>
      <c r="M43" s="62"/>
      <c r="N43" s="69"/>
    </row>
    <row r="44" spans="1:14" ht="30">
      <c r="A44" s="26" t="s">
        <v>49</v>
      </c>
      <c r="B44" s="40">
        <f t="shared" si="6"/>
        <v>0</v>
      </c>
      <c r="C44" s="44"/>
      <c r="D44" s="49"/>
      <c r="E44" s="6"/>
      <c r="F44" s="34"/>
      <c r="G44" s="34"/>
      <c r="H44" s="6"/>
      <c r="I44" s="40"/>
      <c r="J44" s="50"/>
      <c r="K44" s="54"/>
      <c r="L44" s="58"/>
      <c r="M44" s="62"/>
      <c r="N44" s="69"/>
    </row>
    <row r="45" spans="1:14" ht="30">
      <c r="A45" s="26" t="s">
        <v>50</v>
      </c>
      <c r="B45" s="40">
        <f t="shared" si="6"/>
        <v>0</v>
      </c>
      <c r="C45" s="44"/>
      <c r="D45" s="49"/>
      <c r="E45" s="6"/>
      <c r="F45" s="34"/>
      <c r="G45" s="34"/>
      <c r="H45" s="6"/>
      <c r="I45" s="40"/>
      <c r="J45" s="50"/>
      <c r="K45" s="54"/>
      <c r="L45" s="58"/>
      <c r="M45" s="62"/>
      <c r="N45" s="69"/>
    </row>
    <row r="46" spans="1:14" ht="30">
      <c r="A46" s="26" t="s">
        <v>51</v>
      </c>
      <c r="B46" s="40">
        <f t="shared" si="6"/>
        <v>0</v>
      </c>
      <c r="C46" s="44"/>
      <c r="D46" s="49"/>
      <c r="E46" s="6"/>
      <c r="F46" s="34"/>
      <c r="G46" s="34"/>
      <c r="H46" s="6"/>
      <c r="I46" s="40"/>
      <c r="J46" s="50"/>
      <c r="K46" s="54"/>
      <c r="L46" s="58"/>
      <c r="M46" s="62"/>
      <c r="N46" s="69"/>
    </row>
    <row r="47" spans="1:14" ht="30">
      <c r="A47" s="26" t="s">
        <v>52</v>
      </c>
      <c r="B47" s="40">
        <f t="shared" si="6"/>
        <v>0</v>
      </c>
      <c r="C47" s="44"/>
      <c r="D47" s="49"/>
      <c r="E47" s="6"/>
      <c r="F47" s="34"/>
      <c r="G47" s="34"/>
      <c r="H47" s="6"/>
      <c r="I47" s="40"/>
      <c r="J47" s="50"/>
      <c r="K47" s="54">
        <v>1000000</v>
      </c>
      <c r="L47" s="58"/>
      <c r="M47" s="62"/>
      <c r="N47" s="69"/>
    </row>
    <row r="48" spans="1:14" ht="30">
      <c r="A48" s="26" t="s">
        <v>53</v>
      </c>
      <c r="B48" s="40">
        <f t="shared" si="6"/>
        <v>0</v>
      </c>
      <c r="C48" s="44"/>
      <c r="D48" s="49"/>
      <c r="E48" s="6"/>
      <c r="F48" s="34"/>
      <c r="G48" s="34"/>
      <c r="H48" s="6"/>
      <c r="I48" s="40"/>
      <c r="J48" s="50"/>
      <c r="K48" s="54"/>
      <c r="L48" s="58"/>
      <c r="M48" s="62"/>
      <c r="N48" s="69"/>
    </row>
    <row r="49" spans="1:14" ht="30">
      <c r="A49" s="26" t="s">
        <v>54</v>
      </c>
      <c r="B49" s="40">
        <f t="shared" si="6"/>
        <v>0</v>
      </c>
      <c r="C49" s="44"/>
      <c r="D49" s="49"/>
      <c r="E49" s="6"/>
      <c r="F49" s="34"/>
      <c r="G49" s="34"/>
      <c r="H49" s="6"/>
      <c r="I49" s="40"/>
      <c r="J49" s="50"/>
      <c r="K49" s="54"/>
      <c r="L49" s="58"/>
      <c r="M49" s="62"/>
      <c r="N49" s="69"/>
    </row>
    <row r="50" spans="1:14" ht="30">
      <c r="A50" s="26" t="s">
        <v>55</v>
      </c>
      <c r="B50" s="40">
        <f t="shared" si="6"/>
        <v>0</v>
      </c>
      <c r="C50" s="44"/>
      <c r="D50" s="49"/>
      <c r="E50" s="6"/>
      <c r="F50" s="34"/>
      <c r="G50" s="34"/>
      <c r="H50" s="6"/>
      <c r="I50" s="40"/>
      <c r="J50" s="50"/>
      <c r="K50" s="54"/>
      <c r="L50" s="58"/>
      <c r="M50" s="62"/>
      <c r="N50" s="69"/>
    </row>
    <row r="51" spans="1:14" ht="30">
      <c r="A51" s="24" t="s">
        <v>28</v>
      </c>
      <c r="B51" s="25">
        <f>+C51+D51+E51+F51+G51+H51+I51+J51+K51+L51+M51+N51</f>
        <v>24620474.08</v>
      </c>
      <c r="C51" s="15"/>
      <c r="D51" s="49"/>
      <c r="E51" s="21">
        <f>E52+E53+E54+E55+E56+E57+E58+E59+E60</f>
        <v>2370236.5</v>
      </c>
      <c r="F51" s="21">
        <f aca="true" t="shared" si="7" ref="F51:N51">F52+F53+F54+F55+F56+F57+F58+F59+F60</f>
        <v>0</v>
      </c>
      <c r="G51" s="21">
        <f t="shared" si="7"/>
        <v>324143.35</v>
      </c>
      <c r="H51" s="21">
        <f t="shared" si="7"/>
        <v>10850109.16</v>
      </c>
      <c r="I51" s="21">
        <f t="shared" si="7"/>
        <v>1323615.8</v>
      </c>
      <c r="J51" s="25">
        <f t="shared" si="7"/>
        <v>3589916.46</v>
      </c>
      <c r="K51" s="21">
        <f t="shared" si="7"/>
        <v>6162452.8100000005</v>
      </c>
      <c r="L51" s="25">
        <f t="shared" si="7"/>
        <v>0</v>
      </c>
      <c r="M51" s="25">
        <f t="shared" si="7"/>
        <v>0</v>
      </c>
      <c r="N51" s="25">
        <f t="shared" si="7"/>
        <v>0</v>
      </c>
    </row>
    <row r="52" spans="1:14" ht="15">
      <c r="A52" s="26" t="s">
        <v>29</v>
      </c>
      <c r="B52" s="40">
        <f>+C52+D52+E52+F52+G52+H52+I52+J52+K52+L52+M52+N52</f>
        <v>7480545.469999999</v>
      </c>
      <c r="C52" s="44"/>
      <c r="D52" s="49"/>
      <c r="E52" s="6"/>
      <c r="F52" s="34"/>
      <c r="G52" s="34">
        <v>242649.68</v>
      </c>
      <c r="H52" s="13">
        <v>5133291.45</v>
      </c>
      <c r="I52" s="40">
        <v>796759.31</v>
      </c>
      <c r="J52" s="50">
        <v>1084089.89</v>
      </c>
      <c r="K52" s="54">
        <v>223755.14</v>
      </c>
      <c r="L52" s="58"/>
      <c r="M52" s="62"/>
      <c r="N52" s="69"/>
    </row>
    <row r="53" spans="1:14" ht="30">
      <c r="A53" s="26" t="s">
        <v>30</v>
      </c>
      <c r="B53" s="50">
        <f>+C53+D53+E53+F53+G53+H53+I53+J53+K53+L53+M53+N53</f>
        <v>4475395.96</v>
      </c>
      <c r="C53" s="44"/>
      <c r="D53" s="49"/>
      <c r="E53" s="13">
        <v>2370236.5</v>
      </c>
      <c r="F53" s="34"/>
      <c r="G53" s="34"/>
      <c r="H53" s="13">
        <v>333350.85</v>
      </c>
      <c r="I53" s="40">
        <v>35413.92</v>
      </c>
      <c r="J53" s="50">
        <v>778352.69</v>
      </c>
      <c r="K53" s="54">
        <v>958042</v>
      </c>
      <c r="L53" s="58"/>
      <c r="M53" s="62"/>
      <c r="N53" s="69"/>
    </row>
    <row r="54" spans="1:14" ht="30">
      <c r="A54" s="26" t="s">
        <v>31</v>
      </c>
      <c r="B54" s="50">
        <f aca="true" t="shared" si="8" ref="B54:B72">+C54+D54+E54+F54+G54+H54+I54+J54+K54</f>
        <v>0</v>
      </c>
      <c r="C54" s="44"/>
      <c r="D54" s="49"/>
      <c r="E54" s="6"/>
      <c r="F54" s="34"/>
      <c r="G54" s="34"/>
      <c r="H54" s="6"/>
      <c r="I54" s="40"/>
      <c r="J54" s="50"/>
      <c r="K54" s="54"/>
      <c r="L54" s="58"/>
      <c r="M54" s="62"/>
      <c r="N54" s="69"/>
    </row>
    <row r="55" spans="1:14" ht="30">
      <c r="A55" s="26" t="s">
        <v>32</v>
      </c>
      <c r="B55" s="50">
        <f>+C55+D55+E55+F55+G55+H55+I55+J55+K55+L55+M55+N55</f>
        <v>0</v>
      </c>
      <c r="C55" s="44"/>
      <c r="D55" s="49"/>
      <c r="E55" s="6"/>
      <c r="F55" s="34"/>
      <c r="G55" s="34"/>
      <c r="H55" s="13"/>
      <c r="I55" s="40"/>
      <c r="J55" s="50"/>
      <c r="K55" s="54"/>
      <c r="L55" s="58"/>
      <c r="M55" s="62"/>
      <c r="N55" s="69"/>
    </row>
    <row r="56" spans="1:14" ht="30">
      <c r="A56" s="26" t="s">
        <v>33</v>
      </c>
      <c r="B56" s="50">
        <f>+C56+D56+E56+F56+G56+H56+I56+J56+K56+L56+M56+N56</f>
        <v>188716.8</v>
      </c>
      <c r="C56" s="44"/>
      <c r="D56" s="49"/>
      <c r="E56" s="6"/>
      <c r="F56" s="34"/>
      <c r="G56" s="34">
        <v>81493.67</v>
      </c>
      <c r="H56" s="13">
        <v>57753.8</v>
      </c>
      <c r="I56" s="40">
        <v>16441.74</v>
      </c>
      <c r="J56" s="50">
        <v>16473.88</v>
      </c>
      <c r="K56" s="54">
        <v>16553.71</v>
      </c>
      <c r="L56" s="58"/>
      <c r="M56" s="62"/>
      <c r="N56" s="69"/>
    </row>
    <row r="57" spans="1:14" ht="30">
      <c r="A57" s="26" t="s">
        <v>56</v>
      </c>
      <c r="B57" s="50">
        <f t="shared" si="8"/>
        <v>3333500</v>
      </c>
      <c r="C57" s="44"/>
      <c r="D57" s="49"/>
      <c r="E57" s="6"/>
      <c r="F57" s="34"/>
      <c r="G57" s="34"/>
      <c r="H57" s="13">
        <v>1622500</v>
      </c>
      <c r="I57" s="40"/>
      <c r="J57" s="50">
        <v>1711000</v>
      </c>
      <c r="K57" s="54"/>
      <c r="L57" s="58"/>
      <c r="M57" s="62"/>
      <c r="N57" s="69"/>
    </row>
    <row r="58" spans="1:14" ht="30">
      <c r="A58" s="26" t="s">
        <v>57</v>
      </c>
      <c r="B58" s="50">
        <f t="shared" si="8"/>
        <v>0</v>
      </c>
      <c r="C58" s="44"/>
      <c r="D58" s="49"/>
      <c r="E58" s="6"/>
      <c r="F58" s="34"/>
      <c r="G58" s="34"/>
      <c r="H58" s="6"/>
      <c r="I58" s="40"/>
      <c r="J58" s="50"/>
      <c r="K58" s="54"/>
      <c r="L58" s="58"/>
      <c r="M58" s="62"/>
      <c r="N58" s="69"/>
    </row>
    <row r="59" spans="1:14" ht="30" customHeight="1">
      <c r="A59" s="26" t="s">
        <v>34</v>
      </c>
      <c r="B59" s="50">
        <f>+C59+D59+E59+F59+G59+H59+I59+J59+K59+L59+M59+N59</f>
        <v>9142315.85</v>
      </c>
      <c r="C59" s="44"/>
      <c r="D59" s="49"/>
      <c r="E59" s="6"/>
      <c r="F59" s="34"/>
      <c r="G59" s="34"/>
      <c r="H59" s="13">
        <v>3703213.06</v>
      </c>
      <c r="I59" s="40">
        <v>475000.83</v>
      </c>
      <c r="J59" s="50"/>
      <c r="K59" s="54">
        <v>4964101.96</v>
      </c>
      <c r="L59" s="58"/>
      <c r="M59" s="62"/>
      <c r="N59" s="69"/>
    </row>
    <row r="60" spans="1:14" ht="30" customHeight="1">
      <c r="A60" s="26" t="s">
        <v>58</v>
      </c>
      <c r="B60" s="50">
        <f t="shared" si="8"/>
        <v>0</v>
      </c>
      <c r="C60" s="44"/>
      <c r="D60" s="49"/>
      <c r="E60" s="6"/>
      <c r="F60" s="34"/>
      <c r="G60" s="34"/>
      <c r="H60" s="6"/>
      <c r="I60" s="40"/>
      <c r="J60" s="50"/>
      <c r="K60" s="54"/>
      <c r="L60" s="58"/>
      <c r="M60" s="62"/>
      <c r="N60" s="69"/>
    </row>
    <row r="61" spans="1:14" ht="15">
      <c r="A61" s="24" t="s">
        <v>59</v>
      </c>
      <c r="B61" s="50">
        <f t="shared" si="8"/>
        <v>21695180.68</v>
      </c>
      <c r="C61" s="15"/>
      <c r="D61" s="49"/>
      <c r="E61" s="6"/>
      <c r="F61" s="25">
        <f>F62+F63+F64+F65</f>
        <v>11705555.33</v>
      </c>
      <c r="G61" s="34"/>
      <c r="H61" s="6"/>
      <c r="I61" s="25">
        <f>I62+I63+I64+I65</f>
        <v>7873784.54</v>
      </c>
      <c r="J61" s="25">
        <f>J62</f>
        <v>-284512.73</v>
      </c>
      <c r="K61" s="25">
        <f>K62+K63+K64+K65</f>
        <v>2400353.54</v>
      </c>
      <c r="L61" s="58"/>
      <c r="M61" s="62"/>
      <c r="N61" s="69"/>
    </row>
    <row r="62" spans="1:14" ht="15">
      <c r="A62" s="26" t="s">
        <v>60</v>
      </c>
      <c r="B62" s="50">
        <f t="shared" si="8"/>
        <v>21011155.5</v>
      </c>
      <c r="C62" s="44"/>
      <c r="D62" s="49"/>
      <c r="E62" s="6"/>
      <c r="F62" s="34">
        <v>11705555.33</v>
      </c>
      <c r="G62" s="34"/>
      <c r="H62" s="6"/>
      <c r="I62" s="40">
        <v>7163927.59</v>
      </c>
      <c r="J62" s="50">
        <v>-284512.73</v>
      </c>
      <c r="K62" s="54">
        <v>2426185.31</v>
      </c>
      <c r="L62" s="58"/>
      <c r="M62" s="62"/>
      <c r="N62" s="69"/>
    </row>
    <row r="63" spans="1:14" ht="15">
      <c r="A63" s="26" t="s">
        <v>61</v>
      </c>
      <c r="B63" s="50">
        <f t="shared" si="8"/>
        <v>684025.1799999999</v>
      </c>
      <c r="C63" s="44"/>
      <c r="D63" s="49"/>
      <c r="E63" s="6"/>
      <c r="F63" s="34"/>
      <c r="G63" s="34"/>
      <c r="H63" s="6"/>
      <c r="I63" s="40">
        <v>709856.95</v>
      </c>
      <c r="J63" s="50"/>
      <c r="K63" s="54">
        <v>-25831.77</v>
      </c>
      <c r="L63" s="58"/>
      <c r="M63" s="62"/>
      <c r="N63" s="69"/>
    </row>
    <row r="64" spans="1:14" ht="30">
      <c r="A64" s="26" t="s">
        <v>62</v>
      </c>
      <c r="B64" s="50">
        <f t="shared" si="8"/>
        <v>0</v>
      </c>
      <c r="C64" s="44"/>
      <c r="D64" s="49"/>
      <c r="E64" s="6"/>
      <c r="F64" s="34"/>
      <c r="G64" s="34"/>
      <c r="H64" s="6"/>
      <c r="I64" s="40"/>
      <c r="J64" s="50"/>
      <c r="K64" s="54"/>
      <c r="L64" s="58"/>
      <c r="M64" s="62"/>
      <c r="N64" s="69"/>
    </row>
    <row r="65" spans="1:14" ht="45">
      <c r="A65" s="26" t="s">
        <v>63</v>
      </c>
      <c r="B65" s="50">
        <f t="shared" si="8"/>
        <v>0</v>
      </c>
      <c r="C65" s="44"/>
      <c r="D65" s="49"/>
      <c r="E65" s="6"/>
      <c r="F65" s="34"/>
      <c r="G65" s="34"/>
      <c r="H65" s="6"/>
      <c r="I65" s="40"/>
      <c r="J65" s="50"/>
      <c r="K65" s="54"/>
      <c r="L65" s="58"/>
      <c r="M65" s="62"/>
      <c r="N65" s="69"/>
    </row>
    <row r="66" spans="1:14" ht="30">
      <c r="A66" s="24" t="s">
        <v>64</v>
      </c>
      <c r="B66" s="50">
        <f t="shared" si="8"/>
        <v>0</v>
      </c>
      <c r="C66" s="15"/>
      <c r="D66" s="49"/>
      <c r="E66" s="6"/>
      <c r="F66" s="34"/>
      <c r="G66" s="34"/>
      <c r="H66" s="6"/>
      <c r="I66" s="40"/>
      <c r="J66" s="50"/>
      <c r="K66" s="54"/>
      <c r="L66" s="58"/>
      <c r="M66" s="62"/>
      <c r="N66" s="69"/>
    </row>
    <row r="67" spans="1:14" ht="15">
      <c r="A67" s="26" t="s">
        <v>65</v>
      </c>
      <c r="B67" s="50">
        <f t="shared" si="8"/>
        <v>0</v>
      </c>
      <c r="C67" s="44"/>
      <c r="D67" s="49"/>
      <c r="E67" s="6"/>
      <c r="F67" s="34"/>
      <c r="G67" s="34"/>
      <c r="H67" s="6"/>
      <c r="I67" s="40"/>
      <c r="J67" s="50"/>
      <c r="K67" s="54"/>
      <c r="L67" s="58"/>
      <c r="M67" s="62"/>
      <c r="N67" s="69"/>
    </row>
    <row r="68" spans="1:14" ht="30">
      <c r="A68" s="26" t="s">
        <v>66</v>
      </c>
      <c r="B68" s="50">
        <f t="shared" si="8"/>
        <v>0</v>
      </c>
      <c r="C68" s="44"/>
      <c r="D68" s="49"/>
      <c r="E68" s="6"/>
      <c r="F68" s="34"/>
      <c r="G68" s="34"/>
      <c r="H68" s="6"/>
      <c r="I68" s="40"/>
      <c r="J68" s="50"/>
      <c r="K68" s="54"/>
      <c r="L68" s="58"/>
      <c r="M68" s="62"/>
      <c r="N68" s="69"/>
    </row>
    <row r="69" spans="1:14" ht="15">
      <c r="A69" s="24" t="s">
        <v>67</v>
      </c>
      <c r="B69" s="50">
        <f t="shared" si="8"/>
        <v>0</v>
      </c>
      <c r="C69" s="15"/>
      <c r="D69" s="49"/>
      <c r="E69" s="6"/>
      <c r="F69" s="34"/>
      <c r="G69" s="34"/>
      <c r="H69" s="6"/>
      <c r="I69" s="40"/>
      <c r="J69" s="50"/>
      <c r="K69" s="54"/>
      <c r="L69" s="58"/>
      <c r="M69" s="62"/>
      <c r="N69" s="69"/>
    </row>
    <row r="70" spans="1:14" ht="30">
      <c r="A70" s="26" t="s">
        <v>68</v>
      </c>
      <c r="B70" s="50">
        <f t="shared" si="8"/>
        <v>0</v>
      </c>
      <c r="C70" s="44"/>
      <c r="D70" s="49"/>
      <c r="E70" s="6"/>
      <c r="F70" s="34"/>
      <c r="G70" s="34"/>
      <c r="H70" s="6"/>
      <c r="I70" s="40"/>
      <c r="J70" s="50"/>
      <c r="K70" s="54"/>
      <c r="L70" s="58"/>
      <c r="M70" s="62"/>
      <c r="N70" s="69"/>
    </row>
    <row r="71" spans="1:14" ht="30">
      <c r="A71" s="26" t="s">
        <v>69</v>
      </c>
      <c r="B71" s="50">
        <f t="shared" si="8"/>
        <v>0</v>
      </c>
      <c r="C71" s="44"/>
      <c r="D71" s="49"/>
      <c r="E71" s="6"/>
      <c r="F71" s="34"/>
      <c r="G71" s="34"/>
      <c r="H71" s="6"/>
      <c r="I71" s="40"/>
      <c r="J71" s="50"/>
      <c r="K71" s="54"/>
      <c r="L71" s="58"/>
      <c r="M71" s="62"/>
      <c r="N71" s="69"/>
    </row>
    <row r="72" spans="1:14" ht="30">
      <c r="A72" s="26" t="s">
        <v>70</v>
      </c>
      <c r="B72" s="50">
        <f t="shared" si="8"/>
        <v>0</v>
      </c>
      <c r="C72" s="44"/>
      <c r="D72" s="49"/>
      <c r="E72" s="6"/>
      <c r="F72" s="34"/>
      <c r="G72" s="34"/>
      <c r="H72" s="6"/>
      <c r="I72" s="40"/>
      <c r="J72" s="50"/>
      <c r="K72" s="54"/>
      <c r="L72" s="58"/>
      <c r="M72" s="62"/>
      <c r="N72" s="69"/>
    </row>
    <row r="73" spans="1:14" ht="15">
      <c r="A73" s="28" t="s">
        <v>35</v>
      </c>
      <c r="B73" s="35">
        <f>B9+B15+B25+B35+B51+B61</f>
        <v>1025852442.78</v>
      </c>
      <c r="C73" s="35">
        <f aca="true" t="shared" si="9" ref="C73:N73">+C8</f>
        <v>36590981.69</v>
      </c>
      <c r="D73" s="35">
        <f t="shared" si="9"/>
        <v>90393374.72</v>
      </c>
      <c r="E73" s="35">
        <f t="shared" si="9"/>
        <v>149962324.30000004</v>
      </c>
      <c r="F73" s="35">
        <f t="shared" si="9"/>
        <v>130660767.95</v>
      </c>
      <c r="G73" s="35">
        <f t="shared" si="9"/>
        <v>96651339.35</v>
      </c>
      <c r="H73" s="14">
        <f t="shared" si="9"/>
        <v>129291229.23</v>
      </c>
      <c r="I73" s="14">
        <f t="shared" si="9"/>
        <v>117573546.38000003</v>
      </c>
      <c r="J73" s="35">
        <f t="shared" si="9"/>
        <v>111311409.85</v>
      </c>
      <c r="K73" s="35">
        <f>+K8</f>
        <v>164417469.31</v>
      </c>
      <c r="L73" s="35">
        <f t="shared" si="9"/>
        <v>0</v>
      </c>
      <c r="M73" s="35">
        <f t="shared" si="9"/>
        <v>0</v>
      </c>
      <c r="N73" s="35">
        <f t="shared" si="9"/>
        <v>0</v>
      </c>
    </row>
    <row r="74" spans="1:14" ht="15">
      <c r="A74" s="11"/>
      <c r="B74" s="46"/>
      <c r="C74" s="45"/>
      <c r="D74" s="46"/>
      <c r="E74" s="10"/>
      <c r="F74" s="36"/>
      <c r="G74" s="36"/>
      <c r="I74" s="41"/>
      <c r="J74" s="51"/>
      <c r="K74" s="55"/>
      <c r="L74" s="59"/>
      <c r="M74" s="63"/>
      <c r="N74" s="70"/>
    </row>
    <row r="75" spans="1:14" ht="15">
      <c r="A75" s="24" t="s">
        <v>71</v>
      </c>
      <c r="B75" s="15"/>
      <c r="C75" s="15"/>
      <c r="D75" s="15"/>
      <c r="E75" s="23"/>
      <c r="F75" s="15"/>
      <c r="G75" s="15"/>
      <c r="H75" s="23"/>
      <c r="I75" s="15"/>
      <c r="J75" s="15"/>
      <c r="K75" s="15"/>
      <c r="L75" s="15"/>
      <c r="M75" s="15"/>
      <c r="N75" s="15"/>
    </row>
    <row r="76" spans="1:14" ht="30">
      <c r="A76" s="24" t="s">
        <v>72</v>
      </c>
      <c r="B76" s="49"/>
      <c r="C76" s="15"/>
      <c r="D76" s="49"/>
      <c r="E76" s="6"/>
      <c r="F76" s="34"/>
      <c r="G76" s="34"/>
      <c r="H76" s="6"/>
      <c r="I76" s="40"/>
      <c r="J76" s="50"/>
      <c r="K76" s="54"/>
      <c r="L76" s="58"/>
      <c r="M76" s="62"/>
      <c r="N76" s="69"/>
    </row>
    <row r="77" spans="1:14" ht="30">
      <c r="A77" s="26" t="s">
        <v>73</v>
      </c>
      <c r="B77" s="49"/>
      <c r="C77" s="44"/>
      <c r="D77" s="49"/>
      <c r="E77" s="6"/>
      <c r="F77" s="34"/>
      <c r="G77" s="34"/>
      <c r="H77" s="6"/>
      <c r="I77" s="40"/>
      <c r="J77" s="50"/>
      <c r="K77" s="54"/>
      <c r="L77" s="58"/>
      <c r="M77" s="62"/>
      <c r="N77" s="69"/>
    </row>
    <row r="78" spans="1:14" ht="30">
      <c r="A78" s="26" t="s">
        <v>74</v>
      </c>
      <c r="B78" s="49"/>
      <c r="C78" s="44"/>
      <c r="D78" s="49"/>
      <c r="E78" s="6"/>
      <c r="F78" s="34"/>
      <c r="G78" s="34"/>
      <c r="H78" s="6"/>
      <c r="I78" s="40"/>
      <c r="J78" s="50"/>
      <c r="K78" s="54"/>
      <c r="L78" s="58"/>
      <c r="M78" s="62"/>
      <c r="N78" s="69"/>
    </row>
    <row r="79" spans="1:14" ht="15">
      <c r="A79" s="24" t="s">
        <v>75</v>
      </c>
      <c r="B79" s="49"/>
      <c r="C79" s="15"/>
      <c r="D79" s="49"/>
      <c r="E79" s="6"/>
      <c r="F79" s="34"/>
      <c r="G79" s="34"/>
      <c r="H79" s="6"/>
      <c r="I79" s="40"/>
      <c r="J79" s="50"/>
      <c r="K79" s="54"/>
      <c r="L79" s="58"/>
      <c r="M79" s="62"/>
      <c r="N79" s="69"/>
    </row>
    <row r="80" spans="1:14" ht="30">
      <c r="A80" s="26" t="s">
        <v>76</v>
      </c>
      <c r="B80" s="49"/>
      <c r="C80" s="44"/>
      <c r="D80" s="49"/>
      <c r="E80" s="6"/>
      <c r="F80" s="34"/>
      <c r="G80" s="34">
        <v>125370</v>
      </c>
      <c r="H80" s="13">
        <v>137801.5</v>
      </c>
      <c r="I80" s="40"/>
      <c r="J80" s="50"/>
      <c r="K80" s="54"/>
      <c r="L80" s="58"/>
      <c r="M80" s="62"/>
      <c r="N80" s="69"/>
    </row>
    <row r="81" spans="1:14" ht="30">
      <c r="A81" s="26" t="s">
        <v>77</v>
      </c>
      <c r="B81" s="49"/>
      <c r="C81" s="44"/>
      <c r="D81" s="49"/>
      <c r="E81" s="6"/>
      <c r="F81" s="34"/>
      <c r="G81" s="34"/>
      <c r="H81" s="6"/>
      <c r="I81" s="40"/>
      <c r="J81" s="50"/>
      <c r="K81" s="54"/>
      <c r="L81" s="58"/>
      <c r="M81" s="62"/>
      <c r="N81" s="69"/>
    </row>
    <row r="82" spans="1:14" ht="30">
      <c r="A82" s="24" t="s">
        <v>78</v>
      </c>
      <c r="B82" s="49"/>
      <c r="C82" s="15"/>
      <c r="D82" s="49"/>
      <c r="E82" s="6"/>
      <c r="F82" s="34"/>
      <c r="G82" s="34"/>
      <c r="H82" s="6"/>
      <c r="I82" s="40"/>
      <c r="J82" s="50"/>
      <c r="K82" s="54"/>
      <c r="L82" s="58"/>
      <c r="M82" s="62"/>
      <c r="N82" s="69"/>
    </row>
    <row r="83" spans="1:14" ht="30">
      <c r="A83" s="26" t="s">
        <v>79</v>
      </c>
      <c r="B83" s="49"/>
      <c r="C83" s="44"/>
      <c r="D83" s="49"/>
      <c r="E83" s="6"/>
      <c r="F83" s="34"/>
      <c r="G83" s="34"/>
      <c r="H83" s="6"/>
      <c r="I83" s="40"/>
      <c r="J83" s="50"/>
      <c r="K83" s="54"/>
      <c r="L83" s="58"/>
      <c r="M83" s="62"/>
      <c r="N83" s="69"/>
    </row>
    <row r="84" spans="1:14" ht="15">
      <c r="A84" s="28" t="s">
        <v>80</v>
      </c>
      <c r="B84" s="35"/>
      <c r="C84" s="35"/>
      <c r="D84" s="35"/>
      <c r="E84" s="22"/>
      <c r="F84" s="35"/>
      <c r="G84" s="35">
        <f>SUM(G75:G83)</f>
        <v>125370</v>
      </c>
      <c r="H84" s="14">
        <f>SUM(H75:H83)</f>
        <v>137801.5</v>
      </c>
      <c r="I84" s="35"/>
      <c r="J84" s="35"/>
      <c r="K84" s="35"/>
      <c r="L84" s="35"/>
      <c r="M84" s="35"/>
      <c r="N84" s="35"/>
    </row>
    <row r="85" spans="1:14" ht="15">
      <c r="A85" s="9"/>
      <c r="B85" s="46"/>
      <c r="C85" s="46"/>
      <c r="D85" s="46"/>
      <c r="E85" s="10"/>
      <c r="F85" s="36"/>
      <c r="G85" s="36"/>
      <c r="I85" s="41"/>
      <c r="J85" s="51"/>
      <c r="K85" s="55"/>
      <c r="L85" s="59"/>
      <c r="M85" s="63"/>
      <c r="N85" s="70"/>
    </row>
    <row r="86" spans="1:14" ht="31.5">
      <c r="A86" s="29" t="s">
        <v>81</v>
      </c>
      <c r="B86" s="37">
        <f>C86+D86+E86+F86+G86+H86+I86+J86+K86+L86+M86+N86</f>
        <v>1027115614.28</v>
      </c>
      <c r="C86" s="37">
        <f aca="true" t="shared" si="10" ref="C86:N86">C73</f>
        <v>36590981.69</v>
      </c>
      <c r="D86" s="37">
        <f t="shared" si="10"/>
        <v>90393374.72</v>
      </c>
      <c r="E86" s="37">
        <f t="shared" si="10"/>
        <v>149962324.30000004</v>
      </c>
      <c r="F86" s="37">
        <f t="shared" si="10"/>
        <v>130660767.95</v>
      </c>
      <c r="G86" s="37">
        <f>G73+G84</f>
        <v>96776709.35</v>
      </c>
      <c r="H86" s="37">
        <f>H73+H84</f>
        <v>129429030.73</v>
      </c>
      <c r="I86" s="37">
        <f t="shared" si="10"/>
        <v>117573546.38000003</v>
      </c>
      <c r="J86" s="37">
        <f t="shared" si="10"/>
        <v>111311409.85</v>
      </c>
      <c r="K86" s="37">
        <f t="shared" si="10"/>
        <v>164417469.31</v>
      </c>
      <c r="L86" s="37">
        <f t="shared" si="10"/>
        <v>0</v>
      </c>
      <c r="M86" s="37">
        <f t="shared" si="10"/>
        <v>0</v>
      </c>
      <c r="N86" s="37">
        <f t="shared" si="10"/>
        <v>0</v>
      </c>
    </row>
    <row r="87" spans="1:14" ht="30" customHeight="1">
      <c r="A87" s="75" t="s">
        <v>112</v>
      </c>
      <c r="B87" s="46"/>
      <c r="C87" s="46"/>
      <c r="D87" s="46"/>
      <c r="E87" s="10"/>
      <c r="F87" s="36"/>
      <c r="G87" s="36"/>
      <c r="I87" s="41"/>
      <c r="J87" s="51"/>
      <c r="K87" s="55"/>
      <c r="L87" s="59"/>
      <c r="M87" s="63"/>
      <c r="N87" s="70"/>
    </row>
    <row r="88" spans="1:14" ht="15">
      <c r="A88" s="75" t="s">
        <v>111</v>
      </c>
      <c r="B88" s="47"/>
      <c r="C88" s="47"/>
      <c r="D88" s="47"/>
      <c r="E88" s="12"/>
      <c r="F88" s="38"/>
      <c r="G88" s="38"/>
      <c r="I88" s="42"/>
      <c r="J88" s="52"/>
      <c r="K88" s="56"/>
      <c r="L88" s="60"/>
      <c r="M88" s="64"/>
      <c r="N88" s="71"/>
    </row>
    <row r="89" spans="1:14" ht="15">
      <c r="A89" s="78"/>
      <c r="B89" s="67"/>
      <c r="C89" s="67"/>
      <c r="D89" s="67"/>
      <c r="E89" s="10"/>
      <c r="F89" s="67"/>
      <c r="G89" s="67"/>
      <c r="I89" s="67"/>
      <c r="J89" s="67"/>
      <c r="K89" s="67"/>
      <c r="L89" s="67"/>
      <c r="M89" s="67"/>
      <c r="N89" s="67"/>
    </row>
    <row r="90" spans="1:14" ht="15">
      <c r="A90" s="78"/>
      <c r="B90" s="67"/>
      <c r="C90" s="67"/>
      <c r="D90" s="67"/>
      <c r="E90" s="10"/>
      <c r="F90" s="67"/>
      <c r="G90" s="67"/>
      <c r="I90" s="67"/>
      <c r="J90" s="67"/>
      <c r="K90" s="67"/>
      <c r="L90" s="67"/>
      <c r="M90" s="67"/>
      <c r="N90" s="67"/>
    </row>
    <row r="91" ht="15" customHeight="1">
      <c r="A91" s="77" t="s">
        <v>113</v>
      </c>
    </row>
    <row r="92" ht="13.5" customHeight="1">
      <c r="A92" s="77" t="s">
        <v>114</v>
      </c>
    </row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</sheetData>
  <sheetProtection/>
  <mergeCells count="6">
    <mergeCell ref="A1:N1"/>
    <mergeCell ref="A2:N2"/>
    <mergeCell ref="A3:N3"/>
    <mergeCell ref="A4:N4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cp:lastPrinted>2019-02-05T15:11:48Z</cp:lastPrinted>
  <dcterms:created xsi:type="dcterms:W3CDTF">2018-04-17T18:57:16Z</dcterms:created>
  <dcterms:modified xsi:type="dcterms:W3CDTF">2019-10-17T14:16:51Z</dcterms:modified>
  <cp:category/>
  <cp:version/>
  <cp:contentType/>
  <cp:contentStatus/>
</cp:coreProperties>
</file>