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guzman\Desktop\WEB NUEVA\FINANZAS\ALMACEN\2021\"/>
    </mc:Choice>
  </mc:AlternateContent>
  <workbookProtection workbookAlgorithmName="SHA-512" workbookHashValue="ECBAnUvFw69r2ZCEpBK5qrF8iCDGFi9dmrriH1hZMguItrnGqWPbyQHhD103bOCFmqpsZOrhk+j4bN9RGK6iDg==" workbookSaltValue="VcdumNfAhGY/Uz6Nk5jE1w==" workbookSpinCount="100000" lockStructure="1"/>
  <bookViews>
    <workbookView xWindow="0" yWindow="0" windowWidth="28800" windowHeight="12210"/>
  </bookViews>
  <sheets>
    <sheet name="INVENTARIO ENERO-MARZO 202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51" i="1" l="1"/>
  <c r="J652" i="1"/>
  <c r="O652" i="1" s="1"/>
  <c r="P652" i="1" s="1"/>
  <c r="T652" i="1" s="1"/>
  <c r="S652" i="1"/>
  <c r="J587" i="1"/>
  <c r="J589" i="1"/>
  <c r="J590" i="1"/>
  <c r="R587" i="1"/>
  <c r="R589" i="1"/>
  <c r="R590" i="1"/>
  <c r="J342" i="1" l="1"/>
  <c r="J213" i="1"/>
  <c r="J212" i="1"/>
  <c r="N89" i="1" l="1"/>
  <c r="N88" i="1"/>
  <c r="J593" i="1" l="1"/>
  <c r="N146" i="1"/>
  <c r="N95" i="1"/>
  <c r="N176" i="1" l="1"/>
  <c r="J782" i="1" l="1"/>
  <c r="O782" i="1" s="1"/>
  <c r="P782" i="1" s="1"/>
  <c r="S69" i="1"/>
  <c r="J69" i="1"/>
  <c r="O69" i="1" s="1"/>
  <c r="P69" i="1" s="1"/>
  <c r="T69" i="1" s="1"/>
  <c r="S141" i="1"/>
  <c r="J141" i="1"/>
  <c r="O141" i="1" s="1"/>
  <c r="P141" i="1" s="1"/>
  <c r="T141" i="1" s="1"/>
  <c r="S18" i="1"/>
  <c r="J18" i="1"/>
  <c r="O18" i="1" s="1"/>
  <c r="P18" i="1" s="1"/>
  <c r="T18" i="1" s="1"/>
  <c r="L59" i="1"/>
  <c r="S26" i="1"/>
  <c r="L26" i="1"/>
  <c r="L24" i="1"/>
  <c r="J26" i="1"/>
  <c r="O26" i="1" s="1"/>
  <c r="S24" i="1"/>
  <c r="J24" i="1"/>
  <c r="O24" i="1" s="1"/>
  <c r="S54" i="1"/>
  <c r="S52" i="1"/>
  <c r="J54" i="1"/>
  <c r="O54" i="1" s="1"/>
  <c r="P54" i="1" s="1"/>
  <c r="T54" i="1" s="1"/>
  <c r="J52" i="1"/>
  <c r="O52" i="1" s="1"/>
  <c r="P52" i="1" s="1"/>
  <c r="T52" i="1" s="1"/>
  <c r="S266" i="1"/>
  <c r="J266" i="1"/>
  <c r="O266" i="1" s="1"/>
  <c r="P266" i="1" s="1"/>
  <c r="T266" i="1" s="1"/>
  <c r="S236" i="1"/>
  <c r="J236" i="1"/>
  <c r="O236" i="1" s="1"/>
  <c r="P236" i="1" s="1"/>
  <c r="T236" i="1" s="1"/>
  <c r="S221" i="1"/>
  <c r="S222" i="1"/>
  <c r="S220" i="1"/>
  <c r="J222" i="1"/>
  <c r="O222" i="1" s="1"/>
  <c r="P222" i="1" s="1"/>
  <c r="T222" i="1" s="1"/>
  <c r="S182" i="1"/>
  <c r="J182" i="1"/>
  <c r="O182" i="1" s="1"/>
  <c r="P182" i="1" s="1"/>
  <c r="T182" i="1" s="1"/>
  <c r="L250" i="1"/>
  <c r="J250" i="1"/>
  <c r="O250" i="1" s="1"/>
  <c r="S118" i="1"/>
  <c r="J118" i="1"/>
  <c r="O118" i="1" s="1"/>
  <c r="P118" i="1" s="1"/>
  <c r="T118" i="1" s="1"/>
  <c r="S116" i="1"/>
  <c r="J116" i="1"/>
  <c r="O116" i="1" s="1"/>
  <c r="P116" i="1" s="1"/>
  <c r="T116" i="1" s="1"/>
  <c r="S110" i="1"/>
  <c r="J110" i="1"/>
  <c r="O110" i="1" s="1"/>
  <c r="P110" i="1" s="1"/>
  <c r="T110" i="1" s="1"/>
  <c r="S108" i="1"/>
  <c r="J108" i="1"/>
  <c r="O108" i="1" s="1"/>
  <c r="P108" i="1" s="1"/>
  <c r="T108" i="1" s="1"/>
  <c r="S106" i="1"/>
  <c r="J106" i="1"/>
  <c r="O106" i="1" s="1"/>
  <c r="P106" i="1" s="1"/>
  <c r="T106" i="1" s="1"/>
  <c r="S75" i="1"/>
  <c r="J75" i="1"/>
  <c r="O75" i="1" s="1"/>
  <c r="P75" i="1" s="1"/>
  <c r="T75" i="1" s="1"/>
  <c r="S34" i="1"/>
  <c r="L34" i="1"/>
  <c r="J34" i="1"/>
  <c r="O34" i="1" s="1"/>
  <c r="S32" i="1"/>
  <c r="L32" i="1"/>
  <c r="J32" i="1"/>
  <c r="O32" i="1" s="1"/>
  <c r="S30" i="1"/>
  <c r="L30" i="1"/>
  <c r="J30" i="1"/>
  <c r="O30" i="1" s="1"/>
  <c r="S28" i="1"/>
  <c r="L28" i="1"/>
  <c r="J28" i="1"/>
  <c r="O28" i="1" s="1"/>
  <c r="P26" i="1" l="1"/>
  <c r="T26" i="1" s="1"/>
  <c r="T782" i="1"/>
  <c r="P24" i="1"/>
  <c r="T24" i="1" s="1"/>
  <c r="P34" i="1"/>
  <c r="T34" i="1" s="1"/>
  <c r="P28" i="1"/>
  <c r="T28" i="1" s="1"/>
  <c r="P250" i="1"/>
  <c r="T250" i="1" s="1"/>
  <c r="P32" i="1"/>
  <c r="T32" i="1" s="1"/>
  <c r="P30" i="1"/>
  <c r="T30" i="1" s="1"/>
  <c r="J89" i="1"/>
  <c r="O89" i="1" s="1"/>
  <c r="J90" i="1"/>
  <c r="O90" i="1" s="1"/>
  <c r="P90" i="1" s="1"/>
  <c r="T90" i="1" s="1"/>
  <c r="J91" i="1"/>
  <c r="O91" i="1" s="1"/>
  <c r="P91" i="1" s="1"/>
  <c r="T91" i="1" s="1"/>
  <c r="S145" i="1"/>
  <c r="J145" i="1"/>
  <c r="O145" i="1" s="1"/>
  <c r="P145" i="1" s="1"/>
  <c r="T145" i="1" s="1"/>
  <c r="J122" i="1"/>
  <c r="O122" i="1" s="1"/>
  <c r="P122" i="1" s="1"/>
  <c r="T122" i="1" s="1"/>
  <c r="J123" i="1"/>
  <c r="O123" i="1" s="1"/>
  <c r="P123" i="1" s="1"/>
  <c r="T123" i="1" s="1"/>
  <c r="R73" i="1"/>
  <c r="S73" i="1" s="1"/>
  <c r="L73" i="1"/>
  <c r="J73" i="1"/>
  <c r="O73" i="1" s="1"/>
  <c r="S175" i="1"/>
  <c r="J175" i="1"/>
  <c r="O175" i="1" s="1"/>
  <c r="P175" i="1" s="1"/>
  <c r="T175" i="1" s="1"/>
  <c r="S172" i="1"/>
  <c r="J172" i="1"/>
  <c r="O172" i="1" s="1"/>
  <c r="P172" i="1" s="1"/>
  <c r="T172" i="1" s="1"/>
  <c r="S174" i="1"/>
  <c r="J174" i="1"/>
  <c r="O174" i="1" s="1"/>
  <c r="P174" i="1" s="1"/>
  <c r="T174" i="1" s="1"/>
  <c r="S170" i="1"/>
  <c r="J170" i="1"/>
  <c r="O170" i="1" s="1"/>
  <c r="P170" i="1" s="1"/>
  <c r="T170" i="1" s="1"/>
  <c r="S168" i="1"/>
  <c r="J168" i="1"/>
  <c r="O168" i="1" s="1"/>
  <c r="P168" i="1" s="1"/>
  <c r="T168" i="1" s="1"/>
  <c r="S160" i="1"/>
  <c r="L160" i="1"/>
  <c r="J160" i="1"/>
  <c r="O160" i="1" s="1"/>
  <c r="S147" i="1"/>
  <c r="J147" i="1"/>
  <c r="O147" i="1" s="1"/>
  <c r="P147" i="1" s="1"/>
  <c r="T147" i="1" s="1"/>
  <c r="S143" i="1"/>
  <c r="J143" i="1"/>
  <c r="O143" i="1" s="1"/>
  <c r="P143" i="1" s="1"/>
  <c r="T143" i="1" s="1"/>
  <c r="S131" i="1"/>
  <c r="J131" i="1"/>
  <c r="O131" i="1" s="1"/>
  <c r="P131" i="1" s="1"/>
  <c r="T131" i="1" s="1"/>
  <c r="S126" i="1"/>
  <c r="J126" i="1"/>
  <c r="O126" i="1" s="1"/>
  <c r="P126" i="1" s="1"/>
  <c r="T126" i="1" s="1"/>
  <c r="J101" i="1"/>
  <c r="O101" i="1" s="1"/>
  <c r="P101" i="1" s="1"/>
  <c r="T101" i="1" s="1"/>
  <c r="S98" i="1"/>
  <c r="J98" i="1"/>
  <c r="O98" i="1" s="1"/>
  <c r="P98" i="1" s="1"/>
  <c r="T98" i="1" s="1"/>
  <c r="S96" i="1"/>
  <c r="J96" i="1"/>
  <c r="O96" i="1" s="1"/>
  <c r="P96" i="1" s="1"/>
  <c r="T96" i="1" s="1"/>
  <c r="S94" i="1"/>
  <c r="L94" i="1"/>
  <c r="J94" i="1"/>
  <c r="O94" i="1" s="1"/>
  <c r="S78" i="1"/>
  <c r="J78" i="1"/>
  <c r="O78" i="1" s="1"/>
  <c r="P78" i="1" s="1"/>
  <c r="T78" i="1" s="1"/>
  <c r="S85" i="1"/>
  <c r="L85" i="1"/>
  <c r="O85" i="1"/>
  <c r="P85" i="1" s="1"/>
  <c r="T85" i="1" s="1"/>
  <c r="S42" i="1"/>
  <c r="J42" i="1"/>
  <c r="O42" i="1" s="1"/>
  <c r="P42" i="1" s="1"/>
  <c r="T42" i="1" s="1"/>
  <c r="S13" i="1"/>
  <c r="S12" i="1"/>
  <c r="J12" i="1"/>
  <c r="O12" i="1" s="1"/>
  <c r="P12" i="1" s="1"/>
  <c r="T12" i="1" s="1"/>
  <c r="J13" i="1"/>
  <c r="O13" i="1" s="1"/>
  <c r="P13" i="1" s="1"/>
  <c r="T13" i="1" s="1"/>
  <c r="P160" i="1" l="1"/>
  <c r="T160" i="1" s="1"/>
  <c r="P89" i="1"/>
  <c r="T89" i="1" s="1"/>
  <c r="P73" i="1"/>
  <c r="T73" i="1" s="1"/>
  <c r="P94" i="1"/>
  <c r="T94" i="1" s="1"/>
  <c r="N46" i="1"/>
  <c r="N129" i="1"/>
  <c r="N51" i="1"/>
  <c r="N156" i="1"/>
  <c r="N211" i="1"/>
  <c r="N137" i="1"/>
  <c r="S15" i="1" l="1"/>
  <c r="J15" i="1"/>
  <c r="O15" i="1" s="1"/>
  <c r="P15" i="1" s="1"/>
  <c r="T15" i="1" s="1"/>
  <c r="N206" i="1" l="1"/>
  <c r="N194" i="1"/>
  <c r="N200" i="1"/>
  <c r="N80" i="1"/>
  <c r="N39" i="1"/>
  <c r="N165" i="1" l="1"/>
  <c r="N41" i="1"/>
  <c r="N55" i="1"/>
  <c r="N235" i="1" l="1"/>
  <c r="N234" i="1"/>
  <c r="N244" i="1"/>
  <c r="N226" i="1"/>
  <c r="N239" i="1"/>
  <c r="N256" i="1"/>
  <c r="N224" i="1"/>
  <c r="N185" i="1"/>
  <c r="N150" i="1"/>
  <c r="N213" i="1"/>
  <c r="N212" i="1"/>
  <c r="N77" i="1" l="1"/>
  <c r="N93" i="1"/>
  <c r="N162" i="1"/>
  <c r="N27" i="1"/>
  <c r="N149" i="1"/>
  <c r="N125" i="1"/>
  <c r="N124" i="1"/>
  <c r="N133" i="1" l="1"/>
  <c r="N130" i="1"/>
  <c r="N134" i="1"/>
  <c r="N81" i="1"/>
  <c r="N166" i="1"/>
  <c r="N64" i="1"/>
  <c r="N159" i="1"/>
  <c r="N31" i="1"/>
  <c r="N205" i="1"/>
  <c r="S741" i="1" l="1"/>
  <c r="J741" i="1"/>
  <c r="O741" i="1" s="1"/>
  <c r="P741" i="1" s="1"/>
  <c r="T741" i="1" l="1"/>
  <c r="N587" i="1" l="1"/>
  <c r="N715" i="1" l="1"/>
  <c r="N662" i="1"/>
  <c r="N193" i="1" l="1"/>
  <c r="N186" i="1"/>
  <c r="N187" i="1"/>
  <c r="N192" i="1"/>
  <c r="N138" i="1" l="1"/>
  <c r="N53" i="1"/>
  <c r="N128" i="1"/>
  <c r="N97" i="1"/>
  <c r="N33" i="1"/>
  <c r="N698" i="1"/>
  <c r="N700" i="1"/>
  <c r="N144" i="1"/>
  <c r="N17" i="1"/>
  <c r="N245" i="1"/>
  <c r="S80" i="1" l="1"/>
  <c r="J80" i="1"/>
  <c r="O80" i="1" s="1"/>
  <c r="P80" i="1" s="1"/>
  <c r="T80" i="1" s="1"/>
  <c r="S180" i="1"/>
  <c r="J180" i="1"/>
  <c r="O180" i="1" s="1"/>
  <c r="P180" i="1" s="1"/>
  <c r="T180" i="1" s="1"/>
  <c r="N196" i="1" l="1"/>
  <c r="S257" i="1" l="1"/>
  <c r="S258" i="1"/>
  <c r="L258" i="1"/>
  <c r="L257" i="1"/>
  <c r="J257" i="1"/>
  <c r="O257" i="1" s="1"/>
  <c r="J258" i="1"/>
  <c r="O258" i="1" s="1"/>
  <c r="L137" i="1"/>
  <c r="P258" i="1" l="1"/>
  <c r="T258" i="1" s="1"/>
  <c r="P257" i="1"/>
  <c r="T257" i="1" s="1"/>
  <c r="N14" i="1"/>
  <c r="N135" i="1"/>
  <c r="N103" i="1"/>
  <c r="N61" i="1" l="1"/>
  <c r="O212" i="1" l="1"/>
  <c r="P212" i="1" s="1"/>
  <c r="O213" i="1"/>
  <c r="P213" i="1" s="1"/>
  <c r="T213" i="1" l="1"/>
  <c r="T212" i="1"/>
  <c r="N255" i="1" l="1"/>
  <c r="N228" i="1"/>
  <c r="N230" i="1"/>
  <c r="N711" i="1"/>
  <c r="N701" i="1"/>
  <c r="N565" i="1" l="1"/>
  <c r="N599" i="1"/>
  <c r="N624" i="1"/>
  <c r="N74" i="1"/>
  <c r="N43" i="1" l="1"/>
  <c r="N132" i="1" l="1"/>
  <c r="N195" i="1" l="1"/>
  <c r="N249" i="1"/>
  <c r="N238" i="1" l="1"/>
  <c r="N241" i="1"/>
  <c r="N111" i="1"/>
  <c r="N105" i="1"/>
  <c r="N492" i="1"/>
  <c r="N317" i="1"/>
  <c r="N383" i="1"/>
  <c r="N344" i="1"/>
  <c r="N693" i="1"/>
  <c r="N68" i="1"/>
  <c r="N219" i="1"/>
  <c r="N297" i="1" l="1"/>
  <c r="N328" i="1"/>
  <c r="N113" i="1" l="1"/>
  <c r="N265" i="1"/>
  <c r="M185" i="1" l="1"/>
  <c r="N207" i="1" l="1"/>
  <c r="N479" i="1" l="1"/>
  <c r="N564" i="1"/>
  <c r="N437" i="1" l="1"/>
  <c r="N444" i="1"/>
  <c r="N723" i="1" l="1"/>
  <c r="N499" i="1" l="1"/>
  <c r="N432" i="1"/>
  <c r="N40" i="1" l="1"/>
  <c r="N84" i="1" l="1"/>
  <c r="J267" i="1" l="1"/>
  <c r="M265" i="1"/>
  <c r="M156" i="1"/>
  <c r="J380" i="1"/>
  <c r="J696" i="1"/>
  <c r="J259" i="1" l="1"/>
  <c r="J556" i="1"/>
  <c r="O556" i="1" s="1"/>
  <c r="P556" i="1" s="1"/>
  <c r="T556" i="1" s="1"/>
  <c r="T557" i="1" s="1"/>
  <c r="S556" i="1"/>
  <c r="J557" i="1"/>
  <c r="P557" i="1"/>
  <c r="S723" i="1" l="1"/>
  <c r="P554" i="1"/>
  <c r="P608" i="1"/>
  <c r="P721" i="1"/>
  <c r="P737" i="1"/>
  <c r="P778" i="1"/>
  <c r="S792" i="1" l="1"/>
  <c r="M694" i="1" l="1"/>
  <c r="M128" i="1"/>
  <c r="M95" i="1"/>
  <c r="M137" i="1"/>
  <c r="M235" i="1"/>
  <c r="M256" i="1"/>
  <c r="M255" i="1"/>
  <c r="M211" i="1"/>
  <c r="M249" i="1"/>
  <c r="M244" i="1"/>
  <c r="M241" i="1"/>
  <c r="M226" i="1"/>
  <c r="M239" i="1"/>
  <c r="M186" i="1"/>
  <c r="M187" i="1"/>
  <c r="M200" i="1"/>
  <c r="M245" i="1"/>
  <c r="M193" i="1"/>
  <c r="M205" i="1"/>
  <c r="M206" i="1"/>
  <c r="M192" i="1"/>
  <c r="M594" i="1"/>
  <c r="M342" i="1"/>
  <c r="M391" i="1"/>
  <c r="M599" i="1"/>
  <c r="M47" i="1"/>
  <c r="M49" i="1"/>
  <c r="M204" i="1"/>
  <c r="M120" i="1"/>
  <c r="M149" i="1"/>
  <c r="M97" i="1"/>
  <c r="M150" i="1"/>
  <c r="M93" i="1"/>
  <c r="M88" i="1"/>
  <c r="M64" i="1"/>
  <c r="M57" i="1"/>
  <c r="M41" i="1"/>
  <c r="M166" i="1"/>
  <c r="M100" i="1"/>
  <c r="M17" i="1"/>
  <c r="M53" i="1"/>
  <c r="M144" i="1"/>
  <c r="M130" i="1"/>
  <c r="M165" i="1"/>
  <c r="M159" i="1"/>
  <c r="M297" i="1"/>
  <c r="M197" i="1"/>
  <c r="M234" i="1"/>
  <c r="M263" i="1"/>
  <c r="M210" i="1"/>
  <c r="M238" i="1"/>
  <c r="M55" i="1"/>
  <c r="M74" i="1"/>
  <c r="M51" i="1" l="1"/>
  <c r="M103" i="1" l="1"/>
  <c r="M133" i="1"/>
  <c r="M132" i="1"/>
  <c r="M135" i="1"/>
  <c r="M43" i="1"/>
  <c r="M162" i="1"/>
  <c r="M142" i="1"/>
  <c r="M726" i="1"/>
  <c r="M125" i="1"/>
  <c r="M224" i="1"/>
  <c r="M711" i="1" l="1"/>
  <c r="M659" i="1"/>
  <c r="M127" i="1"/>
  <c r="M233" i="1"/>
  <c r="M624" i="1"/>
  <c r="M134" i="1"/>
  <c r="M77" i="1"/>
  <c r="M107" i="1"/>
  <c r="M109" i="1"/>
  <c r="M111" i="1"/>
  <c r="M207" i="1" l="1"/>
  <c r="M217" i="1"/>
  <c r="M587" i="1"/>
  <c r="M660" i="1"/>
  <c r="M157" i="1" l="1"/>
  <c r="M79" i="1"/>
  <c r="M119" i="1"/>
  <c r="M389" i="1" l="1"/>
  <c r="M138" i="1"/>
  <c r="M219" i="1"/>
  <c r="M309" i="1"/>
  <c r="M346" i="1"/>
  <c r="M33" i="1"/>
  <c r="M31" i="1"/>
  <c r="M29" i="1"/>
  <c r="M14" i="1"/>
  <c r="M146" i="1"/>
  <c r="M84" i="1"/>
  <c r="M45" i="1"/>
  <c r="M441" i="1"/>
  <c r="M447" i="1"/>
  <c r="M46" i="1"/>
  <c r="M105" i="1"/>
  <c r="M190" i="1"/>
  <c r="M194" i="1"/>
  <c r="M23" i="1" l="1"/>
  <c r="J794" i="1" l="1"/>
  <c r="O794" i="1" s="1"/>
  <c r="P794" i="1" s="1"/>
  <c r="T794" i="1" s="1"/>
  <c r="J792" i="1"/>
  <c r="O792" i="1" s="1"/>
  <c r="P792" i="1" s="1"/>
  <c r="T792" i="1" s="1"/>
  <c r="J221" i="1" l="1"/>
  <c r="O221" i="1" l="1"/>
  <c r="P221" i="1" s="1"/>
  <c r="T221" i="1" s="1"/>
  <c r="S185" i="1"/>
  <c r="J113" i="1" l="1"/>
  <c r="O113" i="1" s="1"/>
  <c r="P113" i="1" s="1"/>
  <c r="T113" i="1" s="1"/>
  <c r="J10" i="1" l="1"/>
  <c r="O10" i="1" s="1"/>
  <c r="P10" i="1" s="1"/>
  <c r="T10" i="1" s="1"/>
  <c r="J11" i="1"/>
  <c r="O11" i="1" s="1"/>
  <c r="P11" i="1" s="1"/>
  <c r="T11" i="1" s="1"/>
  <c r="J14" i="1"/>
  <c r="O14" i="1" s="1"/>
  <c r="P14" i="1" s="1"/>
  <c r="T14" i="1" s="1"/>
  <c r="J16" i="1"/>
  <c r="O16" i="1" s="1"/>
  <c r="P16" i="1" s="1"/>
  <c r="T16" i="1" s="1"/>
  <c r="J19" i="1"/>
  <c r="O19" i="1" s="1"/>
  <c r="P19" i="1" s="1"/>
  <c r="T19" i="1" s="1"/>
  <c r="J20" i="1"/>
  <c r="O20" i="1" s="1"/>
  <c r="P20" i="1" s="1"/>
  <c r="T20" i="1" s="1"/>
  <c r="J21" i="1"/>
  <c r="O21" i="1" s="1"/>
  <c r="P21" i="1" s="1"/>
  <c r="T21" i="1" s="1"/>
  <c r="J22" i="1"/>
  <c r="O22" i="1" s="1"/>
  <c r="P22" i="1" s="1"/>
  <c r="T22" i="1" s="1"/>
  <c r="J23" i="1"/>
  <c r="O23" i="1" s="1"/>
  <c r="P23" i="1" s="1"/>
  <c r="T23" i="1" s="1"/>
  <c r="J25" i="1"/>
  <c r="O25" i="1" s="1"/>
  <c r="P25" i="1" s="1"/>
  <c r="T25" i="1" s="1"/>
  <c r="J33" i="1"/>
  <c r="O33" i="1" s="1"/>
  <c r="P33" i="1" s="1"/>
  <c r="T33" i="1" s="1"/>
  <c r="J35" i="1"/>
  <c r="O35" i="1" s="1"/>
  <c r="P35" i="1" s="1"/>
  <c r="T35" i="1" s="1"/>
  <c r="J36" i="1"/>
  <c r="O36" i="1" s="1"/>
  <c r="P36" i="1" s="1"/>
  <c r="T36" i="1" s="1"/>
  <c r="J37" i="1"/>
  <c r="O37" i="1" s="1"/>
  <c r="P37" i="1" s="1"/>
  <c r="T37" i="1" s="1"/>
  <c r="J38" i="1"/>
  <c r="O38" i="1" s="1"/>
  <c r="P38" i="1" s="1"/>
  <c r="T38" i="1" s="1"/>
  <c r="J39" i="1"/>
  <c r="O39" i="1" s="1"/>
  <c r="P39" i="1" s="1"/>
  <c r="T39" i="1" s="1"/>
  <c r="J40" i="1"/>
  <c r="O40" i="1" s="1"/>
  <c r="P40" i="1" s="1"/>
  <c r="T40" i="1" s="1"/>
  <c r="J43" i="1"/>
  <c r="O43" i="1" s="1"/>
  <c r="P43" i="1" s="1"/>
  <c r="T43" i="1" s="1"/>
  <c r="J44" i="1"/>
  <c r="O44" i="1" s="1"/>
  <c r="P44" i="1" s="1"/>
  <c r="T44" i="1" s="1"/>
  <c r="J45" i="1"/>
  <c r="O45" i="1" s="1"/>
  <c r="P45" i="1" s="1"/>
  <c r="T45" i="1" s="1"/>
  <c r="J46" i="1"/>
  <c r="O46" i="1" s="1"/>
  <c r="P46" i="1" s="1"/>
  <c r="T46" i="1" s="1"/>
  <c r="J47" i="1"/>
  <c r="O47" i="1" s="1"/>
  <c r="P47" i="1" s="1"/>
  <c r="T47" i="1" s="1"/>
  <c r="J48" i="1"/>
  <c r="O48" i="1" s="1"/>
  <c r="P48" i="1" s="1"/>
  <c r="T48" i="1" s="1"/>
  <c r="J49" i="1"/>
  <c r="O49" i="1" s="1"/>
  <c r="P49" i="1" s="1"/>
  <c r="T49" i="1" s="1"/>
  <c r="J50" i="1"/>
  <c r="O50" i="1" s="1"/>
  <c r="P50" i="1" s="1"/>
  <c r="T50" i="1" s="1"/>
  <c r="J56" i="1"/>
  <c r="O56" i="1" s="1"/>
  <c r="P56" i="1" s="1"/>
  <c r="T56" i="1" s="1"/>
  <c r="J58" i="1"/>
  <c r="O58" i="1" s="1"/>
  <c r="P58" i="1" s="1"/>
  <c r="T58" i="1" s="1"/>
  <c r="O59" i="1"/>
  <c r="P59" i="1" s="1"/>
  <c r="T59" i="1" s="1"/>
  <c r="J60" i="1"/>
  <c r="O60" i="1" s="1"/>
  <c r="P60" i="1" s="1"/>
  <c r="T60" i="1" s="1"/>
  <c r="J61" i="1"/>
  <c r="O61" i="1" s="1"/>
  <c r="P61" i="1" s="1"/>
  <c r="T61" i="1" s="1"/>
  <c r="J62" i="1"/>
  <c r="O62" i="1" s="1"/>
  <c r="P62" i="1" s="1"/>
  <c r="T62" i="1" s="1"/>
  <c r="J63" i="1"/>
  <c r="O63" i="1" s="1"/>
  <c r="P63" i="1" s="1"/>
  <c r="T63" i="1" s="1"/>
  <c r="J65" i="1"/>
  <c r="O65" i="1" s="1"/>
  <c r="P65" i="1" s="1"/>
  <c r="T65" i="1" s="1"/>
  <c r="J66" i="1"/>
  <c r="O66" i="1" s="1"/>
  <c r="P66" i="1" s="1"/>
  <c r="T66" i="1" s="1"/>
  <c r="J68" i="1"/>
  <c r="O68" i="1" s="1"/>
  <c r="P68" i="1" s="1"/>
  <c r="T68" i="1" s="1"/>
  <c r="J70" i="1"/>
  <c r="O70" i="1" s="1"/>
  <c r="P70" i="1" s="1"/>
  <c r="T70" i="1" s="1"/>
  <c r="J72" i="1"/>
  <c r="O72" i="1" s="1"/>
  <c r="P72" i="1" s="1"/>
  <c r="T72" i="1" s="1"/>
  <c r="J76" i="1"/>
  <c r="O76" i="1" s="1"/>
  <c r="P76" i="1" s="1"/>
  <c r="T76" i="1" s="1"/>
  <c r="J81" i="1"/>
  <c r="O81" i="1" s="1"/>
  <c r="P81" i="1" s="1"/>
  <c r="T81" i="1" s="1"/>
  <c r="J82" i="1"/>
  <c r="O82" i="1" s="1"/>
  <c r="P82" i="1" s="1"/>
  <c r="T82" i="1" s="1"/>
  <c r="J83" i="1"/>
  <c r="O83" i="1" s="1"/>
  <c r="P83" i="1" s="1"/>
  <c r="T83" i="1" s="1"/>
  <c r="J84" i="1"/>
  <c r="O84" i="1" s="1"/>
  <c r="P84" i="1" s="1"/>
  <c r="J87" i="1"/>
  <c r="O87" i="1" s="1"/>
  <c r="P87" i="1" s="1"/>
  <c r="T87" i="1" s="1"/>
  <c r="J92" i="1"/>
  <c r="O92" i="1" s="1"/>
  <c r="P92" i="1" s="1"/>
  <c r="T92" i="1" s="1"/>
  <c r="J95" i="1"/>
  <c r="O95" i="1" s="1"/>
  <c r="P95" i="1" s="1"/>
  <c r="T95" i="1" s="1"/>
  <c r="J99" i="1"/>
  <c r="O99" i="1" s="1"/>
  <c r="P99" i="1" s="1"/>
  <c r="T99" i="1" s="1"/>
  <c r="J102" i="1"/>
  <c r="O102" i="1" s="1"/>
  <c r="P102" i="1" s="1"/>
  <c r="T102" i="1" s="1"/>
  <c r="J103" i="1"/>
  <c r="O103" i="1" s="1"/>
  <c r="P103" i="1" s="1"/>
  <c r="T103" i="1" s="1"/>
  <c r="J104" i="1"/>
  <c r="O104" i="1" s="1"/>
  <c r="P104" i="1" s="1"/>
  <c r="T104" i="1" s="1"/>
  <c r="J105" i="1"/>
  <c r="O105" i="1" s="1"/>
  <c r="P105" i="1" s="1"/>
  <c r="T105" i="1" s="1"/>
  <c r="J107" i="1"/>
  <c r="O107" i="1" s="1"/>
  <c r="P107" i="1" s="1"/>
  <c r="T107" i="1" s="1"/>
  <c r="J109" i="1"/>
  <c r="O109" i="1" s="1"/>
  <c r="P109" i="1" s="1"/>
  <c r="T109" i="1" s="1"/>
  <c r="J111" i="1"/>
  <c r="O111" i="1" s="1"/>
  <c r="P111" i="1" s="1"/>
  <c r="T111" i="1" s="1"/>
  <c r="J112" i="1"/>
  <c r="O112" i="1" s="1"/>
  <c r="P112" i="1" s="1"/>
  <c r="T112" i="1" s="1"/>
  <c r="P114" i="1"/>
  <c r="T114" i="1" s="1"/>
  <c r="J115" i="1"/>
  <c r="O115" i="1" s="1"/>
  <c r="P115" i="1" s="1"/>
  <c r="T115" i="1" s="1"/>
  <c r="J117" i="1"/>
  <c r="O117" i="1" s="1"/>
  <c r="P117" i="1" s="1"/>
  <c r="T117" i="1" s="1"/>
  <c r="J119" i="1"/>
  <c r="O119" i="1" s="1"/>
  <c r="P119" i="1" s="1"/>
  <c r="T119" i="1" s="1"/>
  <c r="J120" i="1"/>
  <c r="O120" i="1" s="1"/>
  <c r="P120" i="1" s="1"/>
  <c r="T120" i="1" s="1"/>
  <c r="J121" i="1"/>
  <c r="O121" i="1" s="1"/>
  <c r="P121" i="1" s="1"/>
  <c r="T121" i="1" s="1"/>
  <c r="J124" i="1"/>
  <c r="O124" i="1" s="1"/>
  <c r="P124" i="1" s="1"/>
  <c r="T124" i="1" s="1"/>
  <c r="J125" i="1"/>
  <c r="O125" i="1" s="1"/>
  <c r="P125" i="1" s="1"/>
  <c r="T125" i="1" s="1"/>
  <c r="J129" i="1"/>
  <c r="O129" i="1" s="1"/>
  <c r="P129" i="1" s="1"/>
  <c r="T129" i="1" s="1"/>
  <c r="J130" i="1"/>
  <c r="O130" i="1" s="1"/>
  <c r="P130" i="1" s="1"/>
  <c r="T130" i="1" s="1"/>
  <c r="J132" i="1"/>
  <c r="O132" i="1" s="1"/>
  <c r="P132" i="1" s="1"/>
  <c r="T132" i="1" s="1"/>
  <c r="J133" i="1"/>
  <c r="O133" i="1" s="1"/>
  <c r="P133" i="1" s="1"/>
  <c r="T133" i="1" s="1"/>
  <c r="J134" i="1"/>
  <c r="O134" i="1" s="1"/>
  <c r="P134" i="1" s="1"/>
  <c r="T134" i="1" s="1"/>
  <c r="J135" i="1"/>
  <c r="O135" i="1" s="1"/>
  <c r="P135" i="1" s="1"/>
  <c r="T135" i="1" s="1"/>
  <c r="J136" i="1"/>
  <c r="O136" i="1" s="1"/>
  <c r="P136" i="1" s="1"/>
  <c r="T136" i="1" s="1"/>
  <c r="J138" i="1"/>
  <c r="O138" i="1" s="1"/>
  <c r="P138" i="1" s="1"/>
  <c r="T138" i="1" s="1"/>
  <c r="J139" i="1"/>
  <c r="O139" i="1" s="1"/>
  <c r="P139" i="1" s="1"/>
  <c r="T139" i="1" s="1"/>
  <c r="J140" i="1"/>
  <c r="O140" i="1" s="1"/>
  <c r="P140" i="1" s="1"/>
  <c r="T140" i="1" s="1"/>
  <c r="J142" i="1"/>
  <c r="O142" i="1" s="1"/>
  <c r="P142" i="1" s="1"/>
  <c r="T142" i="1" s="1"/>
  <c r="J146" i="1"/>
  <c r="O146" i="1" s="1"/>
  <c r="P146" i="1" s="1"/>
  <c r="T146" i="1" s="1"/>
  <c r="J148" i="1"/>
  <c r="O148" i="1" s="1"/>
  <c r="P148" i="1" s="1"/>
  <c r="T148" i="1" s="1"/>
  <c r="J150" i="1"/>
  <c r="O150" i="1" s="1"/>
  <c r="P150" i="1" s="1"/>
  <c r="T150" i="1" s="1"/>
  <c r="J151" i="1"/>
  <c r="O151" i="1" s="1"/>
  <c r="P151" i="1" s="1"/>
  <c r="T151" i="1" s="1"/>
  <c r="J152" i="1"/>
  <c r="O152" i="1" s="1"/>
  <c r="P152" i="1" s="1"/>
  <c r="T152" i="1" s="1"/>
  <c r="J153" i="1"/>
  <c r="O153" i="1" s="1"/>
  <c r="P153" i="1" s="1"/>
  <c r="T153" i="1" s="1"/>
  <c r="J154" i="1"/>
  <c r="O154" i="1" s="1"/>
  <c r="P154" i="1" s="1"/>
  <c r="T154" i="1" s="1"/>
  <c r="J155" i="1"/>
  <c r="O155" i="1" s="1"/>
  <c r="P155" i="1" s="1"/>
  <c r="T155" i="1" s="1"/>
  <c r="J156" i="1"/>
  <c r="O156" i="1" s="1"/>
  <c r="P156" i="1" s="1"/>
  <c r="T156" i="1" s="1"/>
  <c r="J157" i="1"/>
  <c r="O157" i="1" s="1"/>
  <c r="P157" i="1" s="1"/>
  <c r="T157" i="1" s="1"/>
  <c r="J158" i="1"/>
  <c r="O158" i="1" s="1"/>
  <c r="P158" i="1" s="1"/>
  <c r="T158" i="1" s="1"/>
  <c r="J159" i="1"/>
  <c r="O159" i="1" s="1"/>
  <c r="P159" i="1" s="1"/>
  <c r="T159" i="1" s="1"/>
  <c r="J161" i="1"/>
  <c r="O161" i="1" s="1"/>
  <c r="P161" i="1" s="1"/>
  <c r="T161" i="1" s="1"/>
  <c r="J164" i="1"/>
  <c r="O164" i="1" s="1"/>
  <c r="P164" i="1" s="1"/>
  <c r="T164" i="1" s="1"/>
  <c r="J165" i="1"/>
  <c r="O165" i="1" s="1"/>
  <c r="P165" i="1" s="1"/>
  <c r="T165" i="1" s="1"/>
  <c r="J167" i="1"/>
  <c r="O167" i="1" s="1"/>
  <c r="P167" i="1" s="1"/>
  <c r="T167" i="1" s="1"/>
  <c r="J169" i="1"/>
  <c r="O169" i="1" s="1"/>
  <c r="P169" i="1" s="1"/>
  <c r="T169" i="1" s="1"/>
  <c r="J171" i="1"/>
  <c r="O171" i="1" s="1"/>
  <c r="P171" i="1" s="1"/>
  <c r="T171" i="1" s="1"/>
  <c r="J173" i="1"/>
  <c r="O173" i="1" s="1"/>
  <c r="P173" i="1" s="1"/>
  <c r="T173" i="1" s="1"/>
  <c r="J176" i="1"/>
  <c r="O176" i="1" s="1"/>
  <c r="P176" i="1" s="1"/>
  <c r="T176" i="1" s="1"/>
  <c r="J177" i="1"/>
  <c r="O177" i="1" s="1"/>
  <c r="P177" i="1" s="1"/>
  <c r="T177" i="1" s="1"/>
  <c r="J178" i="1"/>
  <c r="O178" i="1" s="1"/>
  <c r="P178" i="1" s="1"/>
  <c r="T178" i="1" s="1"/>
  <c r="J179" i="1"/>
  <c r="O179" i="1" s="1"/>
  <c r="P179" i="1" s="1"/>
  <c r="T179" i="1" s="1"/>
  <c r="O181" i="1"/>
  <c r="P181" i="1" s="1"/>
  <c r="T181" i="1" s="1"/>
  <c r="J189" i="1"/>
  <c r="O189" i="1" s="1"/>
  <c r="P189" i="1" s="1"/>
  <c r="T189" i="1" s="1"/>
  <c r="J190" i="1"/>
  <c r="O190" i="1" s="1"/>
  <c r="P190" i="1" s="1"/>
  <c r="T190" i="1" s="1"/>
  <c r="J191" i="1"/>
  <c r="O191" i="1" s="1"/>
  <c r="P191" i="1" s="1"/>
  <c r="T191" i="1" s="1"/>
  <c r="J194" i="1"/>
  <c r="O194" i="1" s="1"/>
  <c r="P194" i="1" s="1"/>
  <c r="T194" i="1" s="1"/>
  <c r="J195" i="1"/>
  <c r="O195" i="1" s="1"/>
  <c r="P195" i="1" s="1"/>
  <c r="T195" i="1" s="1"/>
  <c r="J196" i="1"/>
  <c r="O196" i="1" s="1"/>
  <c r="P196" i="1" s="1"/>
  <c r="T196" i="1" s="1"/>
  <c r="J198" i="1"/>
  <c r="O198" i="1" s="1"/>
  <c r="P198" i="1" s="1"/>
  <c r="T198" i="1" s="1"/>
  <c r="J199" i="1"/>
  <c r="O199" i="1" s="1"/>
  <c r="P199" i="1" s="1"/>
  <c r="T199" i="1" s="1"/>
  <c r="J201" i="1"/>
  <c r="O201" i="1" s="1"/>
  <c r="P201" i="1" s="1"/>
  <c r="T201" i="1" s="1"/>
  <c r="J203" i="1"/>
  <c r="O203" i="1" s="1"/>
  <c r="P203" i="1" s="1"/>
  <c r="T203" i="1" s="1"/>
  <c r="J207" i="1"/>
  <c r="O207" i="1" s="1"/>
  <c r="P207" i="1" s="1"/>
  <c r="T207" i="1" s="1"/>
  <c r="J214" i="1"/>
  <c r="O214" i="1" s="1"/>
  <c r="P214" i="1" s="1"/>
  <c r="T214" i="1" s="1"/>
  <c r="J215" i="1"/>
  <c r="O215" i="1" s="1"/>
  <c r="P215" i="1" s="1"/>
  <c r="T215" i="1" s="1"/>
  <c r="J216" i="1"/>
  <c r="O216" i="1" s="1"/>
  <c r="P216" i="1" s="1"/>
  <c r="T216" i="1" s="1"/>
  <c r="J218" i="1"/>
  <c r="O218" i="1" s="1"/>
  <c r="P218" i="1" s="1"/>
  <c r="T218" i="1" s="1"/>
  <c r="J220" i="1"/>
  <c r="O220" i="1" s="1"/>
  <c r="P220" i="1" s="1"/>
  <c r="T220" i="1" s="1"/>
  <c r="J223" i="1"/>
  <c r="O223" i="1" s="1"/>
  <c r="P223" i="1" s="1"/>
  <c r="T223" i="1" s="1"/>
  <c r="J224" i="1"/>
  <c r="O224" i="1" s="1"/>
  <c r="P224" i="1" s="1"/>
  <c r="T224" i="1" s="1"/>
  <c r="J225" i="1"/>
  <c r="O225" i="1" s="1"/>
  <c r="P225" i="1" s="1"/>
  <c r="T225" i="1" s="1"/>
  <c r="J227" i="1"/>
  <c r="O227" i="1" s="1"/>
  <c r="P227" i="1" s="1"/>
  <c r="T227" i="1" s="1"/>
  <c r="J228" i="1"/>
  <c r="O228" i="1" s="1"/>
  <c r="P228" i="1" s="1"/>
  <c r="T228" i="1" s="1"/>
  <c r="J229" i="1"/>
  <c r="O229" i="1" s="1"/>
  <c r="P229" i="1" s="1"/>
  <c r="T229" i="1" s="1"/>
  <c r="J231" i="1"/>
  <c r="O231" i="1" s="1"/>
  <c r="P231" i="1" s="1"/>
  <c r="T231" i="1" s="1"/>
  <c r="J232" i="1"/>
  <c r="O232" i="1" s="1"/>
  <c r="P232" i="1" s="1"/>
  <c r="T232" i="1" s="1"/>
  <c r="J233" i="1"/>
  <c r="O233" i="1" s="1"/>
  <c r="P233" i="1" s="1"/>
  <c r="T233" i="1" s="1"/>
  <c r="O237" i="1"/>
  <c r="P237" i="1" s="1"/>
  <c r="T237" i="1" s="1"/>
  <c r="O238" i="1"/>
  <c r="P238" i="1" s="1"/>
  <c r="T238" i="1" s="1"/>
  <c r="J240" i="1"/>
  <c r="O240" i="1" s="1"/>
  <c r="P240" i="1" s="1"/>
  <c r="T240" i="1" s="1"/>
  <c r="J242" i="1"/>
  <c r="O242" i="1" s="1"/>
  <c r="P242" i="1" s="1"/>
  <c r="T242" i="1" s="1"/>
  <c r="J243" i="1"/>
  <c r="O243" i="1" s="1"/>
  <c r="P243" i="1" s="1"/>
  <c r="T243" i="1" s="1"/>
  <c r="J246" i="1"/>
  <c r="O246" i="1" s="1"/>
  <c r="P246" i="1" s="1"/>
  <c r="T246" i="1" s="1"/>
  <c r="J247" i="1"/>
  <c r="O247" i="1" s="1"/>
  <c r="P247" i="1" s="1"/>
  <c r="T247" i="1" s="1"/>
  <c r="J248" i="1"/>
  <c r="O248" i="1" s="1"/>
  <c r="P248" i="1" s="1"/>
  <c r="T248" i="1" s="1"/>
  <c r="J251" i="1"/>
  <c r="O251" i="1" s="1"/>
  <c r="P251" i="1" s="1"/>
  <c r="T251" i="1" s="1"/>
  <c r="J252" i="1"/>
  <c r="O252" i="1" s="1"/>
  <c r="P252" i="1" s="1"/>
  <c r="T252" i="1" s="1"/>
  <c r="J253" i="1"/>
  <c r="O253" i="1" s="1"/>
  <c r="P253" i="1" s="1"/>
  <c r="T253" i="1" s="1"/>
  <c r="J254" i="1"/>
  <c r="O254" i="1" s="1"/>
  <c r="P254" i="1" s="1"/>
  <c r="T254" i="1" s="1"/>
  <c r="O259" i="1"/>
  <c r="P259" i="1" s="1"/>
  <c r="T259" i="1" s="1"/>
  <c r="J261" i="1"/>
  <c r="O261" i="1" s="1"/>
  <c r="P261" i="1" s="1"/>
  <c r="T261" i="1" s="1"/>
  <c r="J262" i="1"/>
  <c r="O262" i="1" s="1"/>
  <c r="P262" i="1" s="1"/>
  <c r="T262" i="1" s="1"/>
  <c r="J265" i="1"/>
  <c r="O265" i="1" s="1"/>
  <c r="P265" i="1" s="1"/>
  <c r="T265" i="1" s="1"/>
  <c r="O267" i="1"/>
  <c r="P267" i="1" s="1"/>
  <c r="T267" i="1" s="1"/>
  <c r="J268" i="1"/>
  <c r="O268" i="1" s="1"/>
  <c r="P268" i="1" s="1"/>
  <c r="T268" i="1" s="1"/>
  <c r="J269" i="1"/>
  <c r="O269" i="1" s="1"/>
  <c r="P269" i="1" s="1"/>
  <c r="T269" i="1" s="1"/>
  <c r="J270" i="1"/>
  <c r="O270" i="1" s="1"/>
  <c r="P270" i="1" s="1"/>
  <c r="T270" i="1" s="1"/>
  <c r="J271" i="1"/>
  <c r="O271" i="1" s="1"/>
  <c r="P271" i="1" s="1"/>
  <c r="T271" i="1" s="1"/>
  <c r="J272" i="1"/>
  <c r="O272" i="1" s="1"/>
  <c r="P272" i="1" s="1"/>
  <c r="T272" i="1" s="1"/>
  <c r="J273" i="1"/>
  <c r="J275" i="1"/>
  <c r="O275" i="1" s="1"/>
  <c r="P275" i="1" s="1"/>
  <c r="T275" i="1" s="1"/>
  <c r="J276" i="1"/>
  <c r="O276" i="1" s="1"/>
  <c r="P276" i="1" s="1"/>
  <c r="T276" i="1" s="1"/>
  <c r="J277" i="1"/>
  <c r="O277" i="1" s="1"/>
  <c r="P277" i="1" s="1"/>
  <c r="T277" i="1" s="1"/>
  <c r="J278" i="1"/>
  <c r="O278" i="1" s="1"/>
  <c r="P278" i="1" s="1"/>
  <c r="T278" i="1" s="1"/>
  <c r="J279" i="1"/>
  <c r="O279" i="1" s="1"/>
  <c r="P279" i="1" s="1"/>
  <c r="T279" i="1" s="1"/>
  <c r="J280" i="1"/>
  <c r="O280" i="1" s="1"/>
  <c r="P280" i="1" s="1"/>
  <c r="T280" i="1" s="1"/>
  <c r="J281" i="1"/>
  <c r="O281" i="1" s="1"/>
  <c r="P281" i="1" s="1"/>
  <c r="T281" i="1" s="1"/>
  <c r="J282" i="1"/>
  <c r="O282" i="1" s="1"/>
  <c r="P282" i="1" s="1"/>
  <c r="T282" i="1" s="1"/>
  <c r="J283" i="1"/>
  <c r="O283" i="1" s="1"/>
  <c r="P283" i="1" s="1"/>
  <c r="T283" i="1" s="1"/>
  <c r="J284" i="1"/>
  <c r="O284" i="1" s="1"/>
  <c r="P284" i="1" s="1"/>
  <c r="T284" i="1" s="1"/>
  <c r="J285" i="1"/>
  <c r="O285" i="1" s="1"/>
  <c r="P285" i="1" s="1"/>
  <c r="T285" i="1" s="1"/>
  <c r="J286" i="1"/>
  <c r="O286" i="1" s="1"/>
  <c r="P286" i="1" s="1"/>
  <c r="T286" i="1" s="1"/>
  <c r="J287" i="1"/>
  <c r="O287" i="1" s="1"/>
  <c r="P287" i="1" s="1"/>
  <c r="T287" i="1" s="1"/>
  <c r="J288" i="1"/>
  <c r="O288" i="1" s="1"/>
  <c r="P288" i="1" s="1"/>
  <c r="T288" i="1" s="1"/>
  <c r="J289" i="1"/>
  <c r="O289" i="1" s="1"/>
  <c r="P289" i="1" s="1"/>
  <c r="T289" i="1" s="1"/>
  <c r="J290" i="1"/>
  <c r="O290" i="1" s="1"/>
  <c r="P290" i="1" s="1"/>
  <c r="T290" i="1" s="1"/>
  <c r="J291" i="1"/>
  <c r="O291" i="1" s="1"/>
  <c r="P291" i="1" s="1"/>
  <c r="T291" i="1" s="1"/>
  <c r="J292" i="1"/>
  <c r="O292" i="1" s="1"/>
  <c r="P292" i="1" s="1"/>
  <c r="T292" i="1" s="1"/>
  <c r="J293" i="1"/>
  <c r="O293" i="1" s="1"/>
  <c r="P293" i="1" s="1"/>
  <c r="T293" i="1" s="1"/>
  <c r="J294" i="1"/>
  <c r="O294" i="1" s="1"/>
  <c r="P294" i="1" s="1"/>
  <c r="T294" i="1" s="1"/>
  <c r="J295" i="1"/>
  <c r="O295" i="1" s="1"/>
  <c r="P295" i="1" s="1"/>
  <c r="T295" i="1" s="1"/>
  <c r="J296" i="1"/>
  <c r="O296" i="1" s="1"/>
  <c r="P296" i="1" s="1"/>
  <c r="T296" i="1" s="1"/>
  <c r="J298" i="1"/>
  <c r="O298" i="1" s="1"/>
  <c r="P298" i="1" s="1"/>
  <c r="T298" i="1" s="1"/>
  <c r="J299" i="1"/>
  <c r="O299" i="1" s="1"/>
  <c r="P299" i="1" s="1"/>
  <c r="T299" i="1" s="1"/>
  <c r="J300" i="1"/>
  <c r="O300" i="1" s="1"/>
  <c r="P300" i="1" s="1"/>
  <c r="T300" i="1" s="1"/>
  <c r="J301" i="1"/>
  <c r="O301" i="1" s="1"/>
  <c r="P301" i="1" s="1"/>
  <c r="T301" i="1" s="1"/>
  <c r="J302" i="1"/>
  <c r="O302" i="1" s="1"/>
  <c r="P302" i="1" s="1"/>
  <c r="T302" i="1" s="1"/>
  <c r="J303" i="1"/>
  <c r="O303" i="1" s="1"/>
  <c r="P303" i="1" s="1"/>
  <c r="T303" i="1" s="1"/>
  <c r="J304" i="1"/>
  <c r="O304" i="1" s="1"/>
  <c r="P304" i="1" s="1"/>
  <c r="T304" i="1" s="1"/>
  <c r="J305" i="1"/>
  <c r="J307" i="1"/>
  <c r="O307" i="1" s="1"/>
  <c r="P307" i="1" s="1"/>
  <c r="T307" i="1" s="1"/>
  <c r="J308" i="1"/>
  <c r="O308" i="1" s="1"/>
  <c r="P308" i="1" s="1"/>
  <c r="T308" i="1" s="1"/>
  <c r="J309" i="1"/>
  <c r="O309" i="1" s="1"/>
  <c r="P309" i="1" s="1"/>
  <c r="J310" i="1"/>
  <c r="O310" i="1" s="1"/>
  <c r="P310" i="1" s="1"/>
  <c r="T310" i="1" s="1"/>
  <c r="J311" i="1"/>
  <c r="O311" i="1" s="1"/>
  <c r="P311" i="1" s="1"/>
  <c r="T311" i="1" s="1"/>
  <c r="J312" i="1"/>
  <c r="O312" i="1" s="1"/>
  <c r="P312" i="1" s="1"/>
  <c r="T312" i="1" s="1"/>
  <c r="J313" i="1"/>
  <c r="O313" i="1" s="1"/>
  <c r="P313" i="1" s="1"/>
  <c r="T313" i="1" s="1"/>
  <c r="J314" i="1"/>
  <c r="O314" i="1" s="1"/>
  <c r="P314" i="1" s="1"/>
  <c r="T314" i="1" s="1"/>
  <c r="J315" i="1"/>
  <c r="O315" i="1" s="1"/>
  <c r="P315" i="1" s="1"/>
  <c r="T315" i="1" s="1"/>
  <c r="J316" i="1"/>
  <c r="O316" i="1" s="1"/>
  <c r="P316" i="1" s="1"/>
  <c r="T316" i="1" s="1"/>
  <c r="J317" i="1"/>
  <c r="O317" i="1" s="1"/>
  <c r="P317" i="1" s="1"/>
  <c r="T317" i="1" s="1"/>
  <c r="J318" i="1"/>
  <c r="O318" i="1" s="1"/>
  <c r="P318" i="1" s="1"/>
  <c r="T318" i="1" s="1"/>
  <c r="J319" i="1"/>
  <c r="O319" i="1" s="1"/>
  <c r="P319" i="1" s="1"/>
  <c r="T319" i="1" s="1"/>
  <c r="J320" i="1"/>
  <c r="O320" i="1" s="1"/>
  <c r="P320" i="1" s="1"/>
  <c r="T320" i="1" s="1"/>
  <c r="J321" i="1"/>
  <c r="O321" i="1" s="1"/>
  <c r="P321" i="1" s="1"/>
  <c r="T321" i="1" s="1"/>
  <c r="J322" i="1"/>
  <c r="O322" i="1" s="1"/>
  <c r="P322" i="1" s="1"/>
  <c r="T322" i="1" s="1"/>
  <c r="J323" i="1"/>
  <c r="O323" i="1" s="1"/>
  <c r="P323" i="1" s="1"/>
  <c r="T323" i="1" s="1"/>
  <c r="J324" i="1"/>
  <c r="O324" i="1" s="1"/>
  <c r="P324" i="1" s="1"/>
  <c r="T324" i="1" s="1"/>
  <c r="J325" i="1"/>
  <c r="O325" i="1" s="1"/>
  <c r="P325" i="1" s="1"/>
  <c r="T325" i="1" s="1"/>
  <c r="J326" i="1"/>
  <c r="O326" i="1" s="1"/>
  <c r="P326" i="1" s="1"/>
  <c r="T326" i="1" s="1"/>
  <c r="J327" i="1"/>
  <c r="O327" i="1" s="1"/>
  <c r="P327" i="1" s="1"/>
  <c r="T327" i="1" s="1"/>
  <c r="J328" i="1"/>
  <c r="O328" i="1" s="1"/>
  <c r="P328" i="1" s="1"/>
  <c r="T328" i="1" s="1"/>
  <c r="J329" i="1"/>
  <c r="O329" i="1" s="1"/>
  <c r="P329" i="1" s="1"/>
  <c r="T329" i="1" s="1"/>
  <c r="J330" i="1"/>
  <c r="O330" i="1" s="1"/>
  <c r="P330" i="1" s="1"/>
  <c r="T330" i="1" s="1"/>
  <c r="J331" i="1"/>
  <c r="O331" i="1" s="1"/>
  <c r="P331" i="1" s="1"/>
  <c r="T331" i="1" s="1"/>
  <c r="J332" i="1"/>
  <c r="O332" i="1" s="1"/>
  <c r="P332" i="1" s="1"/>
  <c r="T332" i="1" s="1"/>
  <c r="J333" i="1"/>
  <c r="O333" i="1" s="1"/>
  <c r="P333" i="1" s="1"/>
  <c r="T333" i="1" s="1"/>
  <c r="J334" i="1"/>
  <c r="O334" i="1" s="1"/>
  <c r="P334" i="1" s="1"/>
  <c r="T334" i="1" s="1"/>
  <c r="J335" i="1"/>
  <c r="O335" i="1" s="1"/>
  <c r="P335" i="1" s="1"/>
  <c r="T335" i="1" s="1"/>
  <c r="J336" i="1"/>
  <c r="O336" i="1" s="1"/>
  <c r="P336" i="1" s="1"/>
  <c r="T336" i="1" s="1"/>
  <c r="J337" i="1"/>
  <c r="O337" i="1" s="1"/>
  <c r="P337" i="1" s="1"/>
  <c r="T337" i="1" s="1"/>
  <c r="J338" i="1"/>
  <c r="O338" i="1" s="1"/>
  <c r="P338" i="1" s="1"/>
  <c r="T338" i="1" s="1"/>
  <c r="J339" i="1"/>
  <c r="O339" i="1" s="1"/>
  <c r="P339" i="1" s="1"/>
  <c r="T339" i="1" s="1"/>
  <c r="J340" i="1"/>
  <c r="O340" i="1" s="1"/>
  <c r="P340" i="1" s="1"/>
  <c r="T340" i="1" s="1"/>
  <c r="J341" i="1"/>
  <c r="O341" i="1" s="1"/>
  <c r="P341" i="1" s="1"/>
  <c r="T341" i="1" s="1"/>
  <c r="O342" i="1"/>
  <c r="P342" i="1" s="1"/>
  <c r="T342" i="1" s="1"/>
  <c r="J345" i="1"/>
  <c r="O345" i="1" s="1"/>
  <c r="P345" i="1" s="1"/>
  <c r="T345" i="1" s="1"/>
  <c r="J347" i="1"/>
  <c r="O347" i="1" s="1"/>
  <c r="P347" i="1" s="1"/>
  <c r="T347" i="1" s="1"/>
  <c r="J348" i="1"/>
  <c r="O348" i="1" s="1"/>
  <c r="P348" i="1" s="1"/>
  <c r="T348" i="1" s="1"/>
  <c r="J349" i="1"/>
  <c r="O349" i="1" s="1"/>
  <c r="P349" i="1" s="1"/>
  <c r="T349" i="1" s="1"/>
  <c r="J350" i="1"/>
  <c r="O350" i="1" s="1"/>
  <c r="P350" i="1" s="1"/>
  <c r="T350" i="1" s="1"/>
  <c r="J351" i="1"/>
  <c r="O351" i="1" s="1"/>
  <c r="P351" i="1" s="1"/>
  <c r="T351" i="1" s="1"/>
  <c r="J352" i="1"/>
  <c r="O352" i="1" s="1"/>
  <c r="P352" i="1" s="1"/>
  <c r="T352" i="1" s="1"/>
  <c r="J353" i="1"/>
  <c r="O353" i="1" s="1"/>
  <c r="P353" i="1" s="1"/>
  <c r="T353" i="1" s="1"/>
  <c r="J354" i="1"/>
  <c r="O354" i="1" s="1"/>
  <c r="P354" i="1" s="1"/>
  <c r="T354" i="1" s="1"/>
  <c r="J355" i="1"/>
  <c r="O355" i="1" s="1"/>
  <c r="P355" i="1" s="1"/>
  <c r="T355" i="1" s="1"/>
  <c r="J356" i="1"/>
  <c r="O356" i="1" s="1"/>
  <c r="P356" i="1" s="1"/>
  <c r="T356" i="1" s="1"/>
  <c r="J357" i="1"/>
  <c r="O357" i="1" s="1"/>
  <c r="P357" i="1" s="1"/>
  <c r="T357" i="1" s="1"/>
  <c r="J358" i="1"/>
  <c r="O358" i="1" s="1"/>
  <c r="P358" i="1" s="1"/>
  <c r="T358" i="1" s="1"/>
  <c r="J359" i="1"/>
  <c r="O359" i="1" s="1"/>
  <c r="P359" i="1" s="1"/>
  <c r="T359" i="1" s="1"/>
  <c r="J360" i="1"/>
  <c r="O360" i="1" s="1"/>
  <c r="P360" i="1" s="1"/>
  <c r="T360" i="1" s="1"/>
  <c r="J361" i="1"/>
  <c r="O361" i="1" s="1"/>
  <c r="P361" i="1" s="1"/>
  <c r="T361" i="1" s="1"/>
  <c r="J362" i="1"/>
  <c r="O362" i="1" s="1"/>
  <c r="P362" i="1" s="1"/>
  <c r="T362" i="1" s="1"/>
  <c r="J363" i="1"/>
  <c r="O363" i="1" s="1"/>
  <c r="P363" i="1" s="1"/>
  <c r="T363" i="1" s="1"/>
  <c r="J366" i="1"/>
  <c r="O366" i="1" s="1"/>
  <c r="P366" i="1" s="1"/>
  <c r="T366" i="1" s="1"/>
  <c r="J367" i="1"/>
  <c r="O367" i="1" s="1"/>
  <c r="P367" i="1" s="1"/>
  <c r="T367" i="1" s="1"/>
  <c r="J368" i="1"/>
  <c r="O368" i="1" s="1"/>
  <c r="P368" i="1" s="1"/>
  <c r="T368" i="1" s="1"/>
  <c r="J369" i="1"/>
  <c r="O369" i="1" s="1"/>
  <c r="P369" i="1" s="1"/>
  <c r="T369" i="1" s="1"/>
  <c r="J370" i="1"/>
  <c r="O370" i="1" s="1"/>
  <c r="P370" i="1" s="1"/>
  <c r="T370" i="1" s="1"/>
  <c r="J371" i="1"/>
  <c r="O371" i="1" s="1"/>
  <c r="P371" i="1" s="1"/>
  <c r="T371" i="1" s="1"/>
  <c r="J372" i="1"/>
  <c r="O372" i="1" s="1"/>
  <c r="P372" i="1" s="1"/>
  <c r="T372" i="1" s="1"/>
  <c r="J373" i="1"/>
  <c r="O373" i="1" s="1"/>
  <c r="P373" i="1" s="1"/>
  <c r="T373" i="1" s="1"/>
  <c r="J374" i="1"/>
  <c r="O374" i="1" s="1"/>
  <c r="P374" i="1" s="1"/>
  <c r="T374" i="1" s="1"/>
  <c r="J375" i="1"/>
  <c r="O375" i="1" s="1"/>
  <c r="P375" i="1" s="1"/>
  <c r="T375" i="1" s="1"/>
  <c r="J376" i="1"/>
  <c r="O376" i="1" s="1"/>
  <c r="P376" i="1" s="1"/>
  <c r="T376" i="1" s="1"/>
  <c r="J377" i="1"/>
  <c r="O377" i="1" s="1"/>
  <c r="P377" i="1" s="1"/>
  <c r="T377" i="1" s="1"/>
  <c r="J378" i="1"/>
  <c r="O378" i="1" s="1"/>
  <c r="P378" i="1" s="1"/>
  <c r="T378" i="1" s="1"/>
  <c r="J379" i="1"/>
  <c r="O379" i="1" s="1"/>
  <c r="P379" i="1" s="1"/>
  <c r="T379" i="1" s="1"/>
  <c r="O380" i="1"/>
  <c r="P380" i="1" s="1"/>
  <c r="T380" i="1" s="1"/>
  <c r="J381" i="1"/>
  <c r="O381" i="1" s="1"/>
  <c r="P381" i="1" s="1"/>
  <c r="T381" i="1" s="1"/>
  <c r="J382" i="1"/>
  <c r="O382" i="1" s="1"/>
  <c r="P382" i="1" s="1"/>
  <c r="T382" i="1" s="1"/>
  <c r="J383" i="1"/>
  <c r="O383" i="1" s="1"/>
  <c r="P383" i="1" s="1"/>
  <c r="T383" i="1" s="1"/>
  <c r="J384" i="1"/>
  <c r="O384" i="1" s="1"/>
  <c r="P384" i="1" s="1"/>
  <c r="T384" i="1" s="1"/>
  <c r="J385" i="1"/>
  <c r="O385" i="1" s="1"/>
  <c r="P385" i="1" s="1"/>
  <c r="T385" i="1" s="1"/>
  <c r="J386" i="1"/>
  <c r="O386" i="1" s="1"/>
  <c r="P386" i="1" s="1"/>
  <c r="T386" i="1" s="1"/>
  <c r="J387" i="1"/>
  <c r="O387" i="1" s="1"/>
  <c r="P387" i="1" s="1"/>
  <c r="T387" i="1" s="1"/>
  <c r="J388" i="1"/>
  <c r="O388" i="1" s="1"/>
  <c r="P388" i="1" s="1"/>
  <c r="T388" i="1" s="1"/>
  <c r="J389" i="1"/>
  <c r="O389" i="1" s="1"/>
  <c r="P389" i="1" s="1"/>
  <c r="T389" i="1" s="1"/>
  <c r="J390" i="1"/>
  <c r="O390" i="1" s="1"/>
  <c r="P390" i="1" s="1"/>
  <c r="T390" i="1" s="1"/>
  <c r="J392" i="1"/>
  <c r="O392" i="1" s="1"/>
  <c r="P392" i="1" s="1"/>
  <c r="T392" i="1" s="1"/>
  <c r="J393" i="1"/>
  <c r="O393" i="1" s="1"/>
  <c r="P393" i="1" s="1"/>
  <c r="T393" i="1" s="1"/>
  <c r="J394" i="1"/>
  <c r="O394" i="1" s="1"/>
  <c r="P394" i="1" s="1"/>
  <c r="T394" i="1" s="1"/>
  <c r="J395" i="1"/>
  <c r="O395" i="1" s="1"/>
  <c r="P395" i="1" s="1"/>
  <c r="T395" i="1" s="1"/>
  <c r="J396" i="1"/>
  <c r="O396" i="1" s="1"/>
  <c r="P396" i="1" s="1"/>
  <c r="T396" i="1" s="1"/>
  <c r="J397" i="1"/>
  <c r="O397" i="1" s="1"/>
  <c r="P397" i="1" s="1"/>
  <c r="T397" i="1" s="1"/>
  <c r="J398" i="1"/>
  <c r="O398" i="1" s="1"/>
  <c r="P398" i="1" s="1"/>
  <c r="T398" i="1" s="1"/>
  <c r="J399" i="1"/>
  <c r="J401" i="1"/>
  <c r="O401" i="1" s="1"/>
  <c r="P401" i="1" s="1"/>
  <c r="T401" i="1" s="1"/>
  <c r="J402" i="1"/>
  <c r="O402" i="1" s="1"/>
  <c r="P402" i="1" s="1"/>
  <c r="T402" i="1" s="1"/>
  <c r="J403" i="1"/>
  <c r="O403" i="1" s="1"/>
  <c r="P403" i="1" s="1"/>
  <c r="T403" i="1" s="1"/>
  <c r="J404" i="1"/>
  <c r="O404" i="1" s="1"/>
  <c r="P404" i="1" s="1"/>
  <c r="T404" i="1" s="1"/>
  <c r="J405" i="1"/>
  <c r="O405" i="1" s="1"/>
  <c r="P405" i="1" s="1"/>
  <c r="T405" i="1" s="1"/>
  <c r="J407" i="1"/>
  <c r="O407" i="1" s="1"/>
  <c r="P407" i="1" s="1"/>
  <c r="T407" i="1" s="1"/>
  <c r="J408" i="1"/>
  <c r="O408" i="1" s="1"/>
  <c r="P408" i="1" s="1"/>
  <c r="T408" i="1" s="1"/>
  <c r="J409" i="1"/>
  <c r="O409" i="1" s="1"/>
  <c r="P409" i="1" s="1"/>
  <c r="T409" i="1" s="1"/>
  <c r="J410" i="1"/>
  <c r="O410" i="1" s="1"/>
  <c r="P410" i="1" s="1"/>
  <c r="T410" i="1" s="1"/>
  <c r="J411" i="1"/>
  <c r="O411" i="1" s="1"/>
  <c r="P411" i="1" s="1"/>
  <c r="T411" i="1" s="1"/>
  <c r="J412" i="1"/>
  <c r="O412" i="1" s="1"/>
  <c r="P412" i="1" s="1"/>
  <c r="T412" i="1" s="1"/>
  <c r="J413" i="1"/>
  <c r="O413" i="1" s="1"/>
  <c r="P413" i="1" s="1"/>
  <c r="T413" i="1" s="1"/>
  <c r="J415" i="1"/>
  <c r="O415" i="1" s="1"/>
  <c r="P415" i="1" s="1"/>
  <c r="T415" i="1" s="1"/>
  <c r="J416" i="1"/>
  <c r="O416" i="1" s="1"/>
  <c r="P416" i="1" s="1"/>
  <c r="T416" i="1" s="1"/>
  <c r="J417" i="1"/>
  <c r="O417" i="1" s="1"/>
  <c r="P417" i="1" s="1"/>
  <c r="T417" i="1" s="1"/>
  <c r="J418" i="1"/>
  <c r="O418" i="1" s="1"/>
  <c r="P418" i="1" s="1"/>
  <c r="T418" i="1" s="1"/>
  <c r="J419" i="1"/>
  <c r="O419" i="1" s="1"/>
  <c r="P419" i="1" s="1"/>
  <c r="T419" i="1" s="1"/>
  <c r="J420" i="1"/>
  <c r="O420" i="1" s="1"/>
  <c r="P420" i="1" s="1"/>
  <c r="T420" i="1" s="1"/>
  <c r="J421" i="1"/>
  <c r="O421" i="1" s="1"/>
  <c r="P421" i="1" s="1"/>
  <c r="T421" i="1" s="1"/>
  <c r="J422" i="1"/>
  <c r="O422" i="1" s="1"/>
  <c r="P422" i="1" s="1"/>
  <c r="T422" i="1" s="1"/>
  <c r="J423" i="1"/>
  <c r="O423" i="1" s="1"/>
  <c r="P423" i="1" s="1"/>
  <c r="T423" i="1" s="1"/>
  <c r="J424" i="1"/>
  <c r="O424" i="1" s="1"/>
  <c r="P424" i="1" s="1"/>
  <c r="T424" i="1" s="1"/>
  <c r="J425" i="1"/>
  <c r="O425" i="1" s="1"/>
  <c r="P425" i="1" s="1"/>
  <c r="T425" i="1" s="1"/>
  <c r="J426" i="1"/>
  <c r="O426" i="1" s="1"/>
  <c r="P426" i="1" s="1"/>
  <c r="T426" i="1" s="1"/>
  <c r="J427" i="1"/>
  <c r="O427" i="1" s="1"/>
  <c r="P427" i="1" s="1"/>
  <c r="T427" i="1" s="1"/>
  <c r="J428" i="1"/>
  <c r="O428" i="1" s="1"/>
  <c r="P428" i="1" s="1"/>
  <c r="T428" i="1" s="1"/>
  <c r="J429" i="1"/>
  <c r="O429" i="1" s="1"/>
  <c r="P429" i="1" s="1"/>
  <c r="T429" i="1" s="1"/>
  <c r="J430" i="1"/>
  <c r="O430" i="1" s="1"/>
  <c r="P430" i="1" s="1"/>
  <c r="T430" i="1" s="1"/>
  <c r="J431" i="1"/>
  <c r="O431" i="1" s="1"/>
  <c r="P431" i="1" s="1"/>
  <c r="T431" i="1" s="1"/>
  <c r="J432" i="1"/>
  <c r="O432" i="1" s="1"/>
  <c r="P432" i="1" s="1"/>
  <c r="T432" i="1" s="1"/>
  <c r="J433" i="1"/>
  <c r="O433" i="1" s="1"/>
  <c r="P433" i="1" s="1"/>
  <c r="T433" i="1" s="1"/>
  <c r="J434" i="1"/>
  <c r="O434" i="1" s="1"/>
  <c r="P434" i="1" s="1"/>
  <c r="T434" i="1" s="1"/>
  <c r="J435" i="1"/>
  <c r="O435" i="1" s="1"/>
  <c r="P435" i="1" s="1"/>
  <c r="T435" i="1" s="1"/>
  <c r="J436" i="1"/>
  <c r="O436" i="1" s="1"/>
  <c r="P436" i="1" s="1"/>
  <c r="T436" i="1" s="1"/>
  <c r="J437" i="1"/>
  <c r="O437" i="1" s="1"/>
  <c r="P437" i="1" s="1"/>
  <c r="T437" i="1" s="1"/>
  <c r="J438" i="1"/>
  <c r="O438" i="1" s="1"/>
  <c r="P438" i="1" s="1"/>
  <c r="T438" i="1" s="1"/>
  <c r="J439" i="1"/>
  <c r="O439" i="1" s="1"/>
  <c r="P439" i="1" s="1"/>
  <c r="T439" i="1" s="1"/>
  <c r="J440" i="1"/>
  <c r="O440" i="1" s="1"/>
  <c r="P440" i="1" s="1"/>
  <c r="T440" i="1" s="1"/>
  <c r="J441" i="1"/>
  <c r="O441" i="1" s="1"/>
  <c r="P441" i="1" s="1"/>
  <c r="T441" i="1" s="1"/>
  <c r="J442" i="1"/>
  <c r="O442" i="1" s="1"/>
  <c r="P442" i="1" s="1"/>
  <c r="T442" i="1" s="1"/>
  <c r="J444" i="1"/>
  <c r="O444" i="1" s="1"/>
  <c r="P444" i="1" s="1"/>
  <c r="T444" i="1" s="1"/>
  <c r="J445" i="1"/>
  <c r="O445" i="1" s="1"/>
  <c r="P445" i="1" s="1"/>
  <c r="T445" i="1" s="1"/>
  <c r="J446" i="1"/>
  <c r="O446" i="1" s="1"/>
  <c r="P446" i="1" s="1"/>
  <c r="T446" i="1" s="1"/>
  <c r="J447" i="1"/>
  <c r="O447" i="1" s="1"/>
  <c r="P447" i="1" s="1"/>
  <c r="T447" i="1" s="1"/>
  <c r="J449" i="1"/>
  <c r="O449" i="1" s="1"/>
  <c r="P449" i="1" s="1"/>
  <c r="T449" i="1" s="1"/>
  <c r="J450" i="1"/>
  <c r="O450" i="1" s="1"/>
  <c r="P450" i="1" s="1"/>
  <c r="T450" i="1" s="1"/>
  <c r="J451" i="1"/>
  <c r="O451" i="1" s="1"/>
  <c r="P451" i="1" s="1"/>
  <c r="T451" i="1" s="1"/>
  <c r="J452" i="1"/>
  <c r="O452" i="1" s="1"/>
  <c r="P452" i="1" s="1"/>
  <c r="T452" i="1" s="1"/>
  <c r="J453" i="1"/>
  <c r="O453" i="1" s="1"/>
  <c r="P453" i="1" s="1"/>
  <c r="T453" i="1" s="1"/>
  <c r="J454" i="1"/>
  <c r="O454" i="1" s="1"/>
  <c r="P454" i="1" s="1"/>
  <c r="T454" i="1" s="1"/>
  <c r="J455" i="1"/>
  <c r="O455" i="1" s="1"/>
  <c r="P455" i="1" s="1"/>
  <c r="T455" i="1" s="1"/>
  <c r="J456" i="1"/>
  <c r="O456" i="1" s="1"/>
  <c r="P456" i="1" s="1"/>
  <c r="T456" i="1" s="1"/>
  <c r="J457" i="1"/>
  <c r="O457" i="1" s="1"/>
  <c r="P457" i="1" s="1"/>
  <c r="T457" i="1" s="1"/>
  <c r="J458" i="1"/>
  <c r="O458" i="1" s="1"/>
  <c r="P458" i="1" s="1"/>
  <c r="T458" i="1" s="1"/>
  <c r="J459" i="1"/>
  <c r="O459" i="1" s="1"/>
  <c r="P459" i="1" s="1"/>
  <c r="T459" i="1" s="1"/>
  <c r="J460" i="1"/>
  <c r="O460" i="1" s="1"/>
  <c r="P460" i="1" s="1"/>
  <c r="T460" i="1" s="1"/>
  <c r="J461" i="1"/>
  <c r="O461" i="1" s="1"/>
  <c r="P461" i="1" s="1"/>
  <c r="T461" i="1" s="1"/>
  <c r="J462" i="1"/>
  <c r="O462" i="1" s="1"/>
  <c r="P462" i="1" s="1"/>
  <c r="T462" i="1" s="1"/>
  <c r="J463" i="1"/>
  <c r="O463" i="1" s="1"/>
  <c r="P463" i="1" s="1"/>
  <c r="T463" i="1" s="1"/>
  <c r="J464" i="1"/>
  <c r="O464" i="1" s="1"/>
  <c r="P464" i="1" s="1"/>
  <c r="T464" i="1" s="1"/>
  <c r="J465" i="1"/>
  <c r="O465" i="1" s="1"/>
  <c r="P465" i="1" s="1"/>
  <c r="T465" i="1" s="1"/>
  <c r="J466" i="1"/>
  <c r="O466" i="1" s="1"/>
  <c r="P466" i="1" s="1"/>
  <c r="T466" i="1" s="1"/>
  <c r="J467" i="1"/>
  <c r="O467" i="1" s="1"/>
  <c r="P467" i="1" s="1"/>
  <c r="T467" i="1" s="1"/>
  <c r="J468" i="1"/>
  <c r="O468" i="1" s="1"/>
  <c r="P468" i="1" s="1"/>
  <c r="T468" i="1" s="1"/>
  <c r="J469" i="1"/>
  <c r="O469" i="1" s="1"/>
  <c r="P469" i="1" s="1"/>
  <c r="T469" i="1" s="1"/>
  <c r="J470" i="1"/>
  <c r="O470" i="1" s="1"/>
  <c r="P470" i="1" s="1"/>
  <c r="T470" i="1" s="1"/>
  <c r="J471" i="1"/>
  <c r="O471" i="1" s="1"/>
  <c r="P471" i="1" s="1"/>
  <c r="T471" i="1" s="1"/>
  <c r="J472" i="1"/>
  <c r="O472" i="1" s="1"/>
  <c r="P472" i="1" s="1"/>
  <c r="T472" i="1" s="1"/>
  <c r="J473" i="1"/>
  <c r="O473" i="1" s="1"/>
  <c r="P473" i="1" s="1"/>
  <c r="T473" i="1" s="1"/>
  <c r="J474" i="1"/>
  <c r="O474" i="1" s="1"/>
  <c r="P474" i="1" s="1"/>
  <c r="T474" i="1" s="1"/>
  <c r="J475" i="1"/>
  <c r="O475" i="1" s="1"/>
  <c r="P475" i="1" s="1"/>
  <c r="T475" i="1" s="1"/>
  <c r="J476" i="1"/>
  <c r="O476" i="1" s="1"/>
  <c r="P476" i="1" s="1"/>
  <c r="T476" i="1" s="1"/>
  <c r="J477" i="1"/>
  <c r="O477" i="1" s="1"/>
  <c r="P477" i="1" s="1"/>
  <c r="T477" i="1" s="1"/>
  <c r="J478" i="1"/>
  <c r="O478" i="1" s="1"/>
  <c r="P478" i="1" s="1"/>
  <c r="T478" i="1" s="1"/>
  <c r="J479" i="1"/>
  <c r="O479" i="1" s="1"/>
  <c r="P479" i="1" s="1"/>
  <c r="T479" i="1" s="1"/>
  <c r="J480" i="1"/>
  <c r="O480" i="1" s="1"/>
  <c r="P480" i="1" s="1"/>
  <c r="T480" i="1" s="1"/>
  <c r="J481" i="1"/>
  <c r="O481" i="1" s="1"/>
  <c r="P481" i="1" s="1"/>
  <c r="T481" i="1" s="1"/>
  <c r="J482" i="1"/>
  <c r="O482" i="1" s="1"/>
  <c r="P482" i="1" s="1"/>
  <c r="T482" i="1" s="1"/>
  <c r="J483" i="1"/>
  <c r="O483" i="1" s="1"/>
  <c r="P483" i="1" s="1"/>
  <c r="T483" i="1" s="1"/>
  <c r="J484" i="1"/>
  <c r="O484" i="1" s="1"/>
  <c r="P484" i="1" s="1"/>
  <c r="T484" i="1" s="1"/>
  <c r="J485" i="1"/>
  <c r="O485" i="1" s="1"/>
  <c r="P485" i="1" s="1"/>
  <c r="T485" i="1" s="1"/>
  <c r="J486" i="1"/>
  <c r="O486" i="1" s="1"/>
  <c r="P486" i="1" s="1"/>
  <c r="T486" i="1" s="1"/>
  <c r="J487" i="1"/>
  <c r="O487" i="1" s="1"/>
  <c r="P487" i="1" s="1"/>
  <c r="T487" i="1" s="1"/>
  <c r="J488" i="1"/>
  <c r="O488" i="1" s="1"/>
  <c r="P488" i="1" s="1"/>
  <c r="T488" i="1" s="1"/>
  <c r="J489" i="1"/>
  <c r="O489" i="1" s="1"/>
  <c r="P489" i="1" s="1"/>
  <c r="T489" i="1" s="1"/>
  <c r="J490" i="1"/>
  <c r="O490" i="1" s="1"/>
  <c r="P490" i="1" s="1"/>
  <c r="T490" i="1" s="1"/>
  <c r="J491" i="1"/>
  <c r="O491" i="1" s="1"/>
  <c r="P491" i="1" s="1"/>
  <c r="T491" i="1" s="1"/>
  <c r="J492" i="1"/>
  <c r="O492" i="1" s="1"/>
  <c r="P492" i="1" s="1"/>
  <c r="T492" i="1" s="1"/>
  <c r="J493" i="1"/>
  <c r="O493" i="1" s="1"/>
  <c r="P493" i="1" s="1"/>
  <c r="T493" i="1" s="1"/>
  <c r="J494" i="1"/>
  <c r="O494" i="1" s="1"/>
  <c r="P494" i="1" s="1"/>
  <c r="T494" i="1" s="1"/>
  <c r="J495" i="1"/>
  <c r="O495" i="1" s="1"/>
  <c r="P495" i="1" s="1"/>
  <c r="T495" i="1" s="1"/>
  <c r="J496" i="1"/>
  <c r="O496" i="1" s="1"/>
  <c r="P496" i="1" s="1"/>
  <c r="T496" i="1" s="1"/>
  <c r="J497" i="1"/>
  <c r="O497" i="1" s="1"/>
  <c r="P497" i="1" s="1"/>
  <c r="T497" i="1" s="1"/>
  <c r="J498" i="1"/>
  <c r="O498" i="1" s="1"/>
  <c r="P498" i="1" s="1"/>
  <c r="T498" i="1" s="1"/>
  <c r="J499" i="1"/>
  <c r="O499" i="1" s="1"/>
  <c r="P499" i="1" s="1"/>
  <c r="T499" i="1" s="1"/>
  <c r="J500" i="1"/>
  <c r="O500" i="1" s="1"/>
  <c r="P500" i="1" s="1"/>
  <c r="T500" i="1" s="1"/>
  <c r="J501" i="1"/>
  <c r="O501" i="1" s="1"/>
  <c r="P501" i="1" s="1"/>
  <c r="T501" i="1" s="1"/>
  <c r="J502" i="1"/>
  <c r="O502" i="1" s="1"/>
  <c r="P502" i="1" s="1"/>
  <c r="T502" i="1" s="1"/>
  <c r="J503" i="1"/>
  <c r="O503" i="1" s="1"/>
  <c r="P503" i="1" s="1"/>
  <c r="T503" i="1" s="1"/>
  <c r="J504" i="1"/>
  <c r="O504" i="1" s="1"/>
  <c r="P504" i="1" s="1"/>
  <c r="T504" i="1" s="1"/>
  <c r="J505" i="1"/>
  <c r="O505" i="1" s="1"/>
  <c r="P505" i="1" s="1"/>
  <c r="T505" i="1" s="1"/>
  <c r="J506" i="1"/>
  <c r="O506" i="1" s="1"/>
  <c r="P506" i="1" s="1"/>
  <c r="T506" i="1" s="1"/>
  <c r="J507" i="1"/>
  <c r="O507" i="1" s="1"/>
  <c r="P507" i="1" s="1"/>
  <c r="T507" i="1" s="1"/>
  <c r="J508" i="1"/>
  <c r="O508" i="1" s="1"/>
  <c r="P508" i="1" s="1"/>
  <c r="T508" i="1" s="1"/>
  <c r="J509" i="1"/>
  <c r="O509" i="1" s="1"/>
  <c r="P509" i="1" s="1"/>
  <c r="T509" i="1" s="1"/>
  <c r="J510" i="1"/>
  <c r="O510" i="1" s="1"/>
  <c r="P510" i="1" s="1"/>
  <c r="T510" i="1" s="1"/>
  <c r="J511" i="1"/>
  <c r="O511" i="1" s="1"/>
  <c r="P511" i="1" s="1"/>
  <c r="T511" i="1" s="1"/>
  <c r="J512" i="1"/>
  <c r="O512" i="1" s="1"/>
  <c r="P512" i="1" s="1"/>
  <c r="T512" i="1" s="1"/>
  <c r="J513" i="1"/>
  <c r="O513" i="1" s="1"/>
  <c r="P513" i="1" s="1"/>
  <c r="T513" i="1" s="1"/>
  <c r="J514" i="1"/>
  <c r="O514" i="1" s="1"/>
  <c r="P514" i="1" s="1"/>
  <c r="T514" i="1" s="1"/>
  <c r="J515" i="1"/>
  <c r="O515" i="1" s="1"/>
  <c r="P515" i="1" s="1"/>
  <c r="T515" i="1" s="1"/>
  <c r="J516" i="1"/>
  <c r="O516" i="1" s="1"/>
  <c r="P516" i="1" s="1"/>
  <c r="T516" i="1" s="1"/>
  <c r="J517" i="1"/>
  <c r="O517" i="1" s="1"/>
  <c r="P517" i="1" s="1"/>
  <c r="T517" i="1" s="1"/>
  <c r="J518" i="1"/>
  <c r="J520" i="1"/>
  <c r="O520" i="1" s="1"/>
  <c r="P520" i="1" s="1"/>
  <c r="T520" i="1" s="1"/>
  <c r="J521" i="1"/>
  <c r="O521" i="1" s="1"/>
  <c r="P521" i="1" s="1"/>
  <c r="T521" i="1" s="1"/>
  <c r="J522" i="1"/>
  <c r="O522" i="1" s="1"/>
  <c r="P522" i="1" s="1"/>
  <c r="T522" i="1" s="1"/>
  <c r="J523" i="1"/>
  <c r="O523" i="1" s="1"/>
  <c r="P523" i="1" s="1"/>
  <c r="T523" i="1" s="1"/>
  <c r="J524" i="1"/>
  <c r="O524" i="1" s="1"/>
  <c r="P524" i="1" s="1"/>
  <c r="T524" i="1" s="1"/>
  <c r="J525" i="1"/>
  <c r="O525" i="1" s="1"/>
  <c r="P525" i="1" s="1"/>
  <c r="T525" i="1" s="1"/>
  <c r="J526" i="1"/>
  <c r="O526" i="1" s="1"/>
  <c r="P526" i="1" s="1"/>
  <c r="T526" i="1" s="1"/>
  <c r="J527" i="1"/>
  <c r="O527" i="1" s="1"/>
  <c r="P527" i="1" s="1"/>
  <c r="T527" i="1" s="1"/>
  <c r="J528" i="1"/>
  <c r="O528" i="1" s="1"/>
  <c r="P528" i="1" s="1"/>
  <c r="T528" i="1" s="1"/>
  <c r="J529" i="1"/>
  <c r="O529" i="1" s="1"/>
  <c r="P529" i="1" s="1"/>
  <c r="T529" i="1" s="1"/>
  <c r="J530" i="1"/>
  <c r="O530" i="1" s="1"/>
  <c r="P530" i="1" s="1"/>
  <c r="T530" i="1" s="1"/>
  <c r="J531" i="1"/>
  <c r="O531" i="1" s="1"/>
  <c r="P531" i="1" s="1"/>
  <c r="T531" i="1" s="1"/>
  <c r="J532" i="1"/>
  <c r="O532" i="1" s="1"/>
  <c r="P532" i="1" s="1"/>
  <c r="T532" i="1" s="1"/>
  <c r="J533" i="1"/>
  <c r="O533" i="1" s="1"/>
  <c r="P533" i="1" s="1"/>
  <c r="T533" i="1" s="1"/>
  <c r="J534" i="1"/>
  <c r="O534" i="1" s="1"/>
  <c r="P534" i="1" s="1"/>
  <c r="T534" i="1" s="1"/>
  <c r="J535" i="1"/>
  <c r="O535" i="1" s="1"/>
  <c r="P535" i="1" s="1"/>
  <c r="T535" i="1" s="1"/>
  <c r="J536" i="1"/>
  <c r="O536" i="1" s="1"/>
  <c r="P536" i="1" s="1"/>
  <c r="T536" i="1" s="1"/>
  <c r="J537" i="1"/>
  <c r="O537" i="1" s="1"/>
  <c r="P537" i="1" s="1"/>
  <c r="T537" i="1" s="1"/>
  <c r="J538" i="1"/>
  <c r="O538" i="1" s="1"/>
  <c r="P538" i="1" s="1"/>
  <c r="T538" i="1" s="1"/>
  <c r="J539" i="1"/>
  <c r="O539" i="1" s="1"/>
  <c r="P539" i="1" s="1"/>
  <c r="T539" i="1" s="1"/>
  <c r="J540" i="1"/>
  <c r="O540" i="1" s="1"/>
  <c r="P540" i="1" s="1"/>
  <c r="T540" i="1" s="1"/>
  <c r="J541" i="1"/>
  <c r="O541" i="1" s="1"/>
  <c r="P541" i="1" s="1"/>
  <c r="T541" i="1" s="1"/>
  <c r="J542" i="1"/>
  <c r="O542" i="1" s="1"/>
  <c r="P542" i="1" s="1"/>
  <c r="T542" i="1" s="1"/>
  <c r="J543" i="1"/>
  <c r="O543" i="1" s="1"/>
  <c r="P543" i="1" s="1"/>
  <c r="T543" i="1" s="1"/>
  <c r="J544" i="1"/>
  <c r="O544" i="1" s="1"/>
  <c r="P544" i="1" s="1"/>
  <c r="T544" i="1" s="1"/>
  <c r="J545" i="1"/>
  <c r="O545" i="1" s="1"/>
  <c r="P545" i="1" s="1"/>
  <c r="T545" i="1" s="1"/>
  <c r="J546" i="1"/>
  <c r="O546" i="1" s="1"/>
  <c r="P546" i="1" s="1"/>
  <c r="T546" i="1" s="1"/>
  <c r="J547" i="1"/>
  <c r="O547" i="1" s="1"/>
  <c r="P547" i="1" s="1"/>
  <c r="T547" i="1" s="1"/>
  <c r="J548" i="1"/>
  <c r="O548" i="1" s="1"/>
  <c r="P548" i="1" s="1"/>
  <c r="T548" i="1" s="1"/>
  <c r="J549" i="1"/>
  <c r="O549" i="1" s="1"/>
  <c r="P549" i="1" s="1"/>
  <c r="T549" i="1" s="1"/>
  <c r="J550" i="1"/>
  <c r="O550" i="1" s="1"/>
  <c r="P550" i="1" s="1"/>
  <c r="T550" i="1" s="1"/>
  <c r="J551" i="1"/>
  <c r="O551" i="1" s="1"/>
  <c r="P551" i="1" s="1"/>
  <c r="T551" i="1" s="1"/>
  <c r="J552" i="1"/>
  <c r="O552" i="1" s="1"/>
  <c r="P552" i="1" s="1"/>
  <c r="T552" i="1" s="1"/>
  <c r="J553" i="1"/>
  <c r="O553" i="1" s="1"/>
  <c r="P553" i="1" s="1"/>
  <c r="T553" i="1" s="1"/>
  <c r="J554" i="1"/>
  <c r="J559" i="1"/>
  <c r="O559" i="1" s="1"/>
  <c r="P559" i="1" s="1"/>
  <c r="T559" i="1" s="1"/>
  <c r="J560" i="1"/>
  <c r="O560" i="1" s="1"/>
  <c r="P560" i="1" s="1"/>
  <c r="T560" i="1" s="1"/>
  <c r="J561" i="1"/>
  <c r="O561" i="1" s="1"/>
  <c r="P561" i="1" s="1"/>
  <c r="T561" i="1" s="1"/>
  <c r="J562" i="1"/>
  <c r="O562" i="1" s="1"/>
  <c r="P562" i="1" s="1"/>
  <c r="T562" i="1" s="1"/>
  <c r="J563" i="1"/>
  <c r="O563" i="1" s="1"/>
  <c r="P563" i="1" s="1"/>
  <c r="T563" i="1" s="1"/>
  <c r="J564" i="1"/>
  <c r="O564" i="1" s="1"/>
  <c r="P564" i="1" s="1"/>
  <c r="T564" i="1" s="1"/>
  <c r="J565" i="1"/>
  <c r="O565" i="1" s="1"/>
  <c r="P565" i="1" s="1"/>
  <c r="T565" i="1" s="1"/>
  <c r="J566" i="1"/>
  <c r="O566" i="1" s="1"/>
  <c r="P566" i="1" s="1"/>
  <c r="T566" i="1" s="1"/>
  <c r="J567" i="1"/>
  <c r="O567" i="1" s="1"/>
  <c r="P567" i="1" s="1"/>
  <c r="T567" i="1" s="1"/>
  <c r="J568" i="1"/>
  <c r="O568" i="1" s="1"/>
  <c r="P568" i="1" s="1"/>
  <c r="T568" i="1" s="1"/>
  <c r="J569" i="1"/>
  <c r="O569" i="1" s="1"/>
  <c r="P569" i="1" s="1"/>
  <c r="T569" i="1" s="1"/>
  <c r="J570" i="1"/>
  <c r="O570" i="1" s="1"/>
  <c r="P570" i="1" s="1"/>
  <c r="T570" i="1" s="1"/>
  <c r="J571" i="1"/>
  <c r="O571" i="1" s="1"/>
  <c r="P571" i="1" s="1"/>
  <c r="T571" i="1" s="1"/>
  <c r="J572" i="1"/>
  <c r="O572" i="1" s="1"/>
  <c r="P572" i="1" s="1"/>
  <c r="T572" i="1" s="1"/>
  <c r="J573" i="1"/>
  <c r="O573" i="1" s="1"/>
  <c r="P573" i="1" s="1"/>
  <c r="T573" i="1" s="1"/>
  <c r="J574" i="1"/>
  <c r="O574" i="1" s="1"/>
  <c r="P574" i="1" s="1"/>
  <c r="T574" i="1" s="1"/>
  <c r="J575" i="1"/>
  <c r="O575" i="1" s="1"/>
  <c r="P575" i="1" s="1"/>
  <c r="T575" i="1" s="1"/>
  <c r="J576" i="1"/>
  <c r="O576" i="1" s="1"/>
  <c r="P576" i="1" s="1"/>
  <c r="T576" i="1" s="1"/>
  <c r="J577" i="1"/>
  <c r="O577" i="1" s="1"/>
  <c r="P577" i="1" s="1"/>
  <c r="T577" i="1" s="1"/>
  <c r="J578" i="1"/>
  <c r="O578" i="1" s="1"/>
  <c r="P578" i="1" s="1"/>
  <c r="T578" i="1" s="1"/>
  <c r="J579" i="1"/>
  <c r="O579" i="1" s="1"/>
  <c r="P579" i="1" s="1"/>
  <c r="T579" i="1" s="1"/>
  <c r="J580" i="1"/>
  <c r="O580" i="1" s="1"/>
  <c r="P580" i="1" s="1"/>
  <c r="T580" i="1" s="1"/>
  <c r="J581" i="1"/>
  <c r="O581" i="1" s="1"/>
  <c r="P581" i="1" s="1"/>
  <c r="T581" i="1" s="1"/>
  <c r="J582" i="1"/>
  <c r="O582" i="1" s="1"/>
  <c r="P582" i="1" s="1"/>
  <c r="T582" i="1" s="1"/>
  <c r="J583" i="1"/>
  <c r="O583" i="1" s="1"/>
  <c r="P583" i="1" s="1"/>
  <c r="T583" i="1" s="1"/>
  <c r="J584" i="1"/>
  <c r="O584" i="1" s="1"/>
  <c r="P584" i="1" s="1"/>
  <c r="T584" i="1" s="1"/>
  <c r="J585" i="1"/>
  <c r="O585" i="1" s="1"/>
  <c r="P585" i="1" s="1"/>
  <c r="T585" i="1" s="1"/>
  <c r="J586" i="1"/>
  <c r="O586" i="1" s="1"/>
  <c r="P586" i="1" s="1"/>
  <c r="T586" i="1" s="1"/>
  <c r="O587" i="1"/>
  <c r="P587" i="1" s="1"/>
  <c r="T587" i="1" s="1"/>
  <c r="J588" i="1"/>
  <c r="O588" i="1" s="1"/>
  <c r="P588" i="1" s="1"/>
  <c r="T588" i="1" s="1"/>
  <c r="O589" i="1"/>
  <c r="P589" i="1" s="1"/>
  <c r="T589" i="1" s="1"/>
  <c r="O590" i="1"/>
  <c r="P590" i="1" s="1"/>
  <c r="T590" i="1" s="1"/>
  <c r="J591" i="1"/>
  <c r="O591" i="1" s="1"/>
  <c r="P591" i="1" s="1"/>
  <c r="T591" i="1" s="1"/>
  <c r="J592" i="1"/>
  <c r="O592" i="1" s="1"/>
  <c r="P592" i="1" s="1"/>
  <c r="T592" i="1" s="1"/>
  <c r="O593" i="1"/>
  <c r="P593" i="1" s="1"/>
  <c r="T593" i="1" s="1"/>
  <c r="J594" i="1"/>
  <c r="O594" i="1" s="1"/>
  <c r="P594" i="1" s="1"/>
  <c r="T594" i="1" s="1"/>
  <c r="J595" i="1"/>
  <c r="O595" i="1" s="1"/>
  <c r="P595" i="1" s="1"/>
  <c r="T595" i="1" s="1"/>
  <c r="J596" i="1"/>
  <c r="O596" i="1" s="1"/>
  <c r="P596" i="1" s="1"/>
  <c r="T596" i="1" s="1"/>
  <c r="J597" i="1"/>
  <c r="O597" i="1" s="1"/>
  <c r="P597" i="1" s="1"/>
  <c r="T597" i="1" s="1"/>
  <c r="J598" i="1"/>
  <c r="O598" i="1" s="1"/>
  <c r="P598" i="1" s="1"/>
  <c r="T598" i="1" s="1"/>
  <c r="J599" i="1"/>
  <c r="O599" i="1" s="1"/>
  <c r="P599" i="1" s="1"/>
  <c r="T599" i="1" s="1"/>
  <c r="J600" i="1"/>
  <c r="O600" i="1" s="1"/>
  <c r="P600" i="1" s="1"/>
  <c r="T600" i="1" s="1"/>
  <c r="J601" i="1"/>
  <c r="O601" i="1" s="1"/>
  <c r="P601" i="1" s="1"/>
  <c r="T601" i="1" s="1"/>
  <c r="J602" i="1"/>
  <c r="O602" i="1" s="1"/>
  <c r="P602" i="1" s="1"/>
  <c r="T602" i="1" s="1"/>
  <c r="J603" i="1"/>
  <c r="O603" i="1" s="1"/>
  <c r="P603" i="1" s="1"/>
  <c r="T603" i="1" s="1"/>
  <c r="J604" i="1"/>
  <c r="O604" i="1" s="1"/>
  <c r="P604" i="1" s="1"/>
  <c r="T604" i="1" s="1"/>
  <c r="J605" i="1"/>
  <c r="O605" i="1" s="1"/>
  <c r="P605" i="1" s="1"/>
  <c r="T605" i="1" s="1"/>
  <c r="J606" i="1"/>
  <c r="O606" i="1" s="1"/>
  <c r="P606" i="1" s="1"/>
  <c r="T606" i="1" s="1"/>
  <c r="J608" i="1"/>
  <c r="J610" i="1"/>
  <c r="O610" i="1" s="1"/>
  <c r="P610" i="1" s="1"/>
  <c r="T610" i="1" s="1"/>
  <c r="J611" i="1"/>
  <c r="O611" i="1" s="1"/>
  <c r="P611" i="1" s="1"/>
  <c r="T611" i="1" s="1"/>
  <c r="J612" i="1"/>
  <c r="O612" i="1" s="1"/>
  <c r="P612" i="1" s="1"/>
  <c r="T612" i="1" s="1"/>
  <c r="J613" i="1"/>
  <c r="O613" i="1" s="1"/>
  <c r="P613" i="1" s="1"/>
  <c r="T613" i="1" s="1"/>
  <c r="J614" i="1"/>
  <c r="O614" i="1" s="1"/>
  <c r="P614" i="1" s="1"/>
  <c r="T614" i="1" s="1"/>
  <c r="J615" i="1"/>
  <c r="O615" i="1" s="1"/>
  <c r="P615" i="1" s="1"/>
  <c r="T615" i="1" s="1"/>
  <c r="J616" i="1"/>
  <c r="O616" i="1" s="1"/>
  <c r="P616" i="1" s="1"/>
  <c r="T616" i="1" s="1"/>
  <c r="J617" i="1"/>
  <c r="O617" i="1" s="1"/>
  <c r="P617" i="1" s="1"/>
  <c r="T617" i="1" s="1"/>
  <c r="J618" i="1"/>
  <c r="O618" i="1" s="1"/>
  <c r="P618" i="1" s="1"/>
  <c r="T618" i="1" s="1"/>
  <c r="J619" i="1"/>
  <c r="O619" i="1" s="1"/>
  <c r="P619" i="1" s="1"/>
  <c r="T619" i="1" s="1"/>
  <c r="J620" i="1"/>
  <c r="O620" i="1" s="1"/>
  <c r="P620" i="1" s="1"/>
  <c r="T620" i="1" s="1"/>
  <c r="J621" i="1"/>
  <c r="O621" i="1" s="1"/>
  <c r="P621" i="1" s="1"/>
  <c r="T621" i="1" s="1"/>
  <c r="J622" i="1"/>
  <c r="O622" i="1" s="1"/>
  <c r="P622" i="1" s="1"/>
  <c r="T622" i="1" s="1"/>
  <c r="J623" i="1"/>
  <c r="O623" i="1" s="1"/>
  <c r="P623" i="1" s="1"/>
  <c r="T623" i="1" s="1"/>
  <c r="J624" i="1"/>
  <c r="O624" i="1" s="1"/>
  <c r="P624" i="1" s="1"/>
  <c r="T624" i="1" s="1"/>
  <c r="J625" i="1"/>
  <c r="O625" i="1" s="1"/>
  <c r="P625" i="1" s="1"/>
  <c r="T625" i="1" s="1"/>
  <c r="J626" i="1"/>
  <c r="O626" i="1" s="1"/>
  <c r="P626" i="1" s="1"/>
  <c r="T626" i="1" s="1"/>
  <c r="J627" i="1"/>
  <c r="O627" i="1" s="1"/>
  <c r="P627" i="1" s="1"/>
  <c r="T627" i="1" s="1"/>
  <c r="J628" i="1"/>
  <c r="O628" i="1" s="1"/>
  <c r="P628" i="1" s="1"/>
  <c r="T628" i="1" s="1"/>
  <c r="J629" i="1"/>
  <c r="O629" i="1" s="1"/>
  <c r="P629" i="1" s="1"/>
  <c r="T629" i="1" s="1"/>
  <c r="J630" i="1"/>
  <c r="O630" i="1" s="1"/>
  <c r="P630" i="1" s="1"/>
  <c r="T630" i="1" s="1"/>
  <c r="J631" i="1"/>
  <c r="O631" i="1" s="1"/>
  <c r="P631" i="1" s="1"/>
  <c r="T631" i="1" s="1"/>
  <c r="J632" i="1"/>
  <c r="O632" i="1" s="1"/>
  <c r="P632" i="1" s="1"/>
  <c r="T632" i="1" s="1"/>
  <c r="J633" i="1"/>
  <c r="O633" i="1" s="1"/>
  <c r="P633" i="1" s="1"/>
  <c r="T633" i="1" s="1"/>
  <c r="J634" i="1"/>
  <c r="O634" i="1" s="1"/>
  <c r="P634" i="1" s="1"/>
  <c r="T634" i="1" s="1"/>
  <c r="J635" i="1"/>
  <c r="O635" i="1" s="1"/>
  <c r="P635" i="1" s="1"/>
  <c r="T635" i="1" s="1"/>
  <c r="J636" i="1"/>
  <c r="O636" i="1" s="1"/>
  <c r="P636" i="1" s="1"/>
  <c r="T636" i="1" s="1"/>
  <c r="J637" i="1"/>
  <c r="O637" i="1" s="1"/>
  <c r="P637" i="1" s="1"/>
  <c r="T637" i="1" s="1"/>
  <c r="J638" i="1"/>
  <c r="O638" i="1" s="1"/>
  <c r="P638" i="1" s="1"/>
  <c r="T638" i="1" s="1"/>
  <c r="J639" i="1"/>
  <c r="O639" i="1" s="1"/>
  <c r="P639" i="1" s="1"/>
  <c r="T639" i="1" s="1"/>
  <c r="J640" i="1"/>
  <c r="O640" i="1" s="1"/>
  <c r="P640" i="1" s="1"/>
  <c r="T640" i="1" s="1"/>
  <c r="J641" i="1"/>
  <c r="O641" i="1" s="1"/>
  <c r="P641" i="1" s="1"/>
  <c r="T641" i="1" s="1"/>
  <c r="J642" i="1"/>
  <c r="O642" i="1" s="1"/>
  <c r="P642" i="1" s="1"/>
  <c r="T642" i="1" s="1"/>
  <c r="J643" i="1"/>
  <c r="O643" i="1" s="1"/>
  <c r="P643" i="1" s="1"/>
  <c r="T643" i="1" s="1"/>
  <c r="J644" i="1"/>
  <c r="O644" i="1" s="1"/>
  <c r="P644" i="1" s="1"/>
  <c r="T644" i="1" s="1"/>
  <c r="J645" i="1"/>
  <c r="O645" i="1" s="1"/>
  <c r="P645" i="1" s="1"/>
  <c r="T645" i="1" s="1"/>
  <c r="J646" i="1"/>
  <c r="O646" i="1" s="1"/>
  <c r="P646" i="1" s="1"/>
  <c r="T646" i="1" s="1"/>
  <c r="J647" i="1"/>
  <c r="O647" i="1" s="1"/>
  <c r="P647" i="1" s="1"/>
  <c r="T647" i="1" s="1"/>
  <c r="J648" i="1"/>
  <c r="O648" i="1" s="1"/>
  <c r="P648" i="1" s="1"/>
  <c r="T648" i="1" s="1"/>
  <c r="J649" i="1"/>
  <c r="O649" i="1" s="1"/>
  <c r="P649" i="1" s="1"/>
  <c r="T649" i="1" s="1"/>
  <c r="J650" i="1"/>
  <c r="O650" i="1" s="1"/>
  <c r="P650" i="1" s="1"/>
  <c r="T650" i="1" s="1"/>
  <c r="J651" i="1"/>
  <c r="O651" i="1" s="1"/>
  <c r="P651" i="1" s="1"/>
  <c r="T651" i="1" s="1"/>
  <c r="J653" i="1"/>
  <c r="O653" i="1" s="1"/>
  <c r="P653" i="1" s="1"/>
  <c r="T653" i="1" s="1"/>
  <c r="J654" i="1"/>
  <c r="O654" i="1" s="1"/>
  <c r="P654" i="1" s="1"/>
  <c r="T654" i="1" s="1"/>
  <c r="J655" i="1"/>
  <c r="O655" i="1" s="1"/>
  <c r="P655" i="1" s="1"/>
  <c r="T655" i="1" s="1"/>
  <c r="J656" i="1"/>
  <c r="O656" i="1" s="1"/>
  <c r="P656" i="1" s="1"/>
  <c r="T656" i="1" s="1"/>
  <c r="J657" i="1"/>
  <c r="O657" i="1" s="1"/>
  <c r="P657" i="1" s="1"/>
  <c r="T657" i="1" s="1"/>
  <c r="J658" i="1"/>
  <c r="O658" i="1" s="1"/>
  <c r="P658" i="1" s="1"/>
  <c r="T658" i="1" s="1"/>
  <c r="J660" i="1"/>
  <c r="O660" i="1" s="1"/>
  <c r="P660" i="1" s="1"/>
  <c r="T660" i="1" s="1"/>
  <c r="J661" i="1"/>
  <c r="O661" i="1" s="1"/>
  <c r="P661" i="1" s="1"/>
  <c r="T661" i="1" s="1"/>
  <c r="J662" i="1"/>
  <c r="O662" i="1" s="1"/>
  <c r="P662" i="1" s="1"/>
  <c r="T662" i="1" s="1"/>
  <c r="J663" i="1"/>
  <c r="O663" i="1" s="1"/>
  <c r="P663" i="1" s="1"/>
  <c r="T663" i="1" s="1"/>
  <c r="J664" i="1"/>
  <c r="O664" i="1" s="1"/>
  <c r="P664" i="1" s="1"/>
  <c r="T664" i="1" s="1"/>
  <c r="J665" i="1"/>
  <c r="O665" i="1" s="1"/>
  <c r="P665" i="1" s="1"/>
  <c r="T665" i="1" s="1"/>
  <c r="J666" i="1"/>
  <c r="O666" i="1" s="1"/>
  <c r="P666" i="1" s="1"/>
  <c r="T666" i="1" s="1"/>
  <c r="J667" i="1"/>
  <c r="O667" i="1" s="1"/>
  <c r="P667" i="1" s="1"/>
  <c r="T667" i="1" s="1"/>
  <c r="J668" i="1"/>
  <c r="O668" i="1" s="1"/>
  <c r="P668" i="1" s="1"/>
  <c r="T668" i="1" s="1"/>
  <c r="J669" i="1"/>
  <c r="O669" i="1" s="1"/>
  <c r="P669" i="1" s="1"/>
  <c r="T669" i="1" s="1"/>
  <c r="J670" i="1"/>
  <c r="O670" i="1" s="1"/>
  <c r="P670" i="1" s="1"/>
  <c r="T670" i="1" s="1"/>
  <c r="J671" i="1"/>
  <c r="O671" i="1" s="1"/>
  <c r="P671" i="1" s="1"/>
  <c r="T671" i="1" s="1"/>
  <c r="J672" i="1"/>
  <c r="O672" i="1" s="1"/>
  <c r="P672" i="1" s="1"/>
  <c r="T672" i="1" s="1"/>
  <c r="J673" i="1"/>
  <c r="O673" i="1" s="1"/>
  <c r="P673" i="1" s="1"/>
  <c r="T673" i="1" s="1"/>
  <c r="J674" i="1"/>
  <c r="O674" i="1" s="1"/>
  <c r="P674" i="1" s="1"/>
  <c r="T674" i="1" s="1"/>
  <c r="J675" i="1"/>
  <c r="O675" i="1" s="1"/>
  <c r="P675" i="1" s="1"/>
  <c r="T675" i="1" s="1"/>
  <c r="J676" i="1"/>
  <c r="O676" i="1" s="1"/>
  <c r="P676" i="1" s="1"/>
  <c r="T676" i="1" s="1"/>
  <c r="J677" i="1"/>
  <c r="O677" i="1" s="1"/>
  <c r="P677" i="1" s="1"/>
  <c r="T677" i="1" s="1"/>
  <c r="J678" i="1"/>
  <c r="O678" i="1" s="1"/>
  <c r="P678" i="1" s="1"/>
  <c r="T678" i="1" s="1"/>
  <c r="J679" i="1"/>
  <c r="O679" i="1" s="1"/>
  <c r="P679" i="1" s="1"/>
  <c r="T679" i="1" s="1"/>
  <c r="J680" i="1"/>
  <c r="O680" i="1" s="1"/>
  <c r="P680" i="1" s="1"/>
  <c r="T680" i="1" s="1"/>
  <c r="J681" i="1"/>
  <c r="O681" i="1" s="1"/>
  <c r="P681" i="1" s="1"/>
  <c r="T681" i="1" s="1"/>
  <c r="J682" i="1"/>
  <c r="O682" i="1" s="1"/>
  <c r="P682" i="1" s="1"/>
  <c r="T682" i="1" s="1"/>
  <c r="J683" i="1"/>
  <c r="O683" i="1" s="1"/>
  <c r="P683" i="1" s="1"/>
  <c r="T683" i="1" s="1"/>
  <c r="J684" i="1"/>
  <c r="O684" i="1" s="1"/>
  <c r="P684" i="1" s="1"/>
  <c r="T684" i="1" s="1"/>
  <c r="J685" i="1"/>
  <c r="O685" i="1" s="1"/>
  <c r="P685" i="1" s="1"/>
  <c r="T685" i="1" s="1"/>
  <c r="J686" i="1"/>
  <c r="O686" i="1" s="1"/>
  <c r="P686" i="1" s="1"/>
  <c r="T686" i="1" s="1"/>
  <c r="J687" i="1"/>
  <c r="O687" i="1" s="1"/>
  <c r="P687" i="1" s="1"/>
  <c r="T687" i="1" s="1"/>
  <c r="J688" i="1"/>
  <c r="O688" i="1" s="1"/>
  <c r="P688" i="1" s="1"/>
  <c r="T688" i="1" s="1"/>
  <c r="J689" i="1"/>
  <c r="O689" i="1" s="1"/>
  <c r="P689" i="1" s="1"/>
  <c r="T689" i="1" s="1"/>
  <c r="J690" i="1"/>
  <c r="O690" i="1" s="1"/>
  <c r="P690" i="1" s="1"/>
  <c r="T690" i="1" s="1"/>
  <c r="J691" i="1"/>
  <c r="O691" i="1" s="1"/>
  <c r="P691" i="1" s="1"/>
  <c r="T691" i="1" s="1"/>
  <c r="J692" i="1"/>
  <c r="O692" i="1" s="1"/>
  <c r="P692" i="1" s="1"/>
  <c r="T692" i="1" s="1"/>
  <c r="J693" i="1"/>
  <c r="O693" i="1" s="1"/>
  <c r="P693" i="1" s="1"/>
  <c r="T693" i="1" s="1"/>
  <c r="J694" i="1"/>
  <c r="O694" i="1" s="1"/>
  <c r="P694" i="1" s="1"/>
  <c r="T694" i="1" s="1"/>
  <c r="J695" i="1"/>
  <c r="O695" i="1" s="1"/>
  <c r="P695" i="1" s="1"/>
  <c r="T695" i="1" s="1"/>
  <c r="O696" i="1"/>
  <c r="P696" i="1" s="1"/>
  <c r="T696" i="1" s="1"/>
  <c r="J697" i="1"/>
  <c r="O697" i="1" s="1"/>
  <c r="P697" i="1" s="1"/>
  <c r="T697" i="1" s="1"/>
  <c r="J699" i="1"/>
  <c r="O699" i="1" s="1"/>
  <c r="P699" i="1" s="1"/>
  <c r="T699" i="1" s="1"/>
  <c r="J700" i="1"/>
  <c r="O700" i="1" s="1"/>
  <c r="P700" i="1" s="1"/>
  <c r="T700" i="1" s="1"/>
  <c r="J701" i="1"/>
  <c r="O701" i="1" s="1"/>
  <c r="P701" i="1" s="1"/>
  <c r="T701" i="1" s="1"/>
  <c r="J702" i="1"/>
  <c r="O702" i="1" s="1"/>
  <c r="P702" i="1" s="1"/>
  <c r="T702" i="1" s="1"/>
  <c r="J703" i="1"/>
  <c r="O703" i="1" s="1"/>
  <c r="P703" i="1" s="1"/>
  <c r="T703" i="1" s="1"/>
  <c r="J704" i="1"/>
  <c r="O704" i="1" s="1"/>
  <c r="P704" i="1" s="1"/>
  <c r="T704" i="1" s="1"/>
  <c r="J705" i="1"/>
  <c r="O705" i="1" s="1"/>
  <c r="P705" i="1" s="1"/>
  <c r="T705" i="1" s="1"/>
  <c r="J706" i="1"/>
  <c r="O706" i="1" s="1"/>
  <c r="P706" i="1" s="1"/>
  <c r="T706" i="1" s="1"/>
  <c r="J707" i="1"/>
  <c r="O707" i="1" s="1"/>
  <c r="P707" i="1" s="1"/>
  <c r="T707" i="1" s="1"/>
  <c r="J708" i="1"/>
  <c r="O708" i="1" s="1"/>
  <c r="P708" i="1" s="1"/>
  <c r="T708" i="1" s="1"/>
  <c r="J709" i="1"/>
  <c r="O709" i="1" s="1"/>
  <c r="P709" i="1" s="1"/>
  <c r="T709" i="1" s="1"/>
  <c r="J710" i="1"/>
  <c r="O710" i="1" s="1"/>
  <c r="P710" i="1" s="1"/>
  <c r="T710" i="1" s="1"/>
  <c r="J711" i="1"/>
  <c r="O711" i="1" s="1"/>
  <c r="P711" i="1" s="1"/>
  <c r="T711" i="1" s="1"/>
  <c r="J713" i="1"/>
  <c r="O713" i="1" s="1"/>
  <c r="P713" i="1" s="1"/>
  <c r="T713" i="1" s="1"/>
  <c r="J714" i="1"/>
  <c r="O714" i="1" s="1"/>
  <c r="P714" i="1" s="1"/>
  <c r="T714" i="1" s="1"/>
  <c r="J715" i="1"/>
  <c r="O715" i="1" s="1"/>
  <c r="P715" i="1" s="1"/>
  <c r="T715" i="1" s="1"/>
  <c r="J716" i="1"/>
  <c r="O716" i="1" s="1"/>
  <c r="P716" i="1" s="1"/>
  <c r="T716" i="1" s="1"/>
  <c r="J717" i="1"/>
  <c r="O717" i="1" s="1"/>
  <c r="P717" i="1" s="1"/>
  <c r="T717" i="1" s="1"/>
  <c r="J718" i="1"/>
  <c r="O718" i="1" s="1"/>
  <c r="P718" i="1" s="1"/>
  <c r="T718" i="1" s="1"/>
  <c r="J719" i="1"/>
  <c r="O719" i="1" s="1"/>
  <c r="P719" i="1" s="1"/>
  <c r="T719" i="1" s="1"/>
  <c r="J720" i="1"/>
  <c r="O720" i="1" s="1"/>
  <c r="P720" i="1" s="1"/>
  <c r="T720" i="1" s="1"/>
  <c r="J721" i="1"/>
  <c r="J723" i="1"/>
  <c r="O723" i="1" s="1"/>
  <c r="P723" i="1" s="1"/>
  <c r="T723" i="1" s="1"/>
  <c r="J724" i="1"/>
  <c r="O724" i="1" s="1"/>
  <c r="P724" i="1" s="1"/>
  <c r="T724" i="1" s="1"/>
  <c r="J725" i="1"/>
  <c r="O725" i="1" s="1"/>
  <c r="P725" i="1" s="1"/>
  <c r="T725" i="1" s="1"/>
  <c r="J726" i="1"/>
  <c r="O726" i="1" s="1"/>
  <c r="P726" i="1" s="1"/>
  <c r="T726" i="1" s="1"/>
  <c r="J727" i="1"/>
  <c r="O727" i="1" s="1"/>
  <c r="P727" i="1" s="1"/>
  <c r="T727" i="1" s="1"/>
  <c r="J728" i="1"/>
  <c r="O728" i="1" s="1"/>
  <c r="P728" i="1" s="1"/>
  <c r="T728" i="1" s="1"/>
  <c r="J729" i="1"/>
  <c r="O729" i="1" s="1"/>
  <c r="P729" i="1" s="1"/>
  <c r="T729" i="1" s="1"/>
  <c r="J730" i="1"/>
  <c r="O730" i="1" s="1"/>
  <c r="P730" i="1" s="1"/>
  <c r="T730" i="1" s="1"/>
  <c r="J731" i="1"/>
  <c r="O731" i="1" s="1"/>
  <c r="P731" i="1" s="1"/>
  <c r="T731" i="1" s="1"/>
  <c r="J732" i="1"/>
  <c r="O732" i="1" s="1"/>
  <c r="P732" i="1" s="1"/>
  <c r="T732" i="1" s="1"/>
  <c r="J733" i="1"/>
  <c r="O733" i="1" s="1"/>
  <c r="P733" i="1" s="1"/>
  <c r="T733" i="1" s="1"/>
  <c r="J734" i="1"/>
  <c r="O734" i="1" s="1"/>
  <c r="P734" i="1" s="1"/>
  <c r="T734" i="1" s="1"/>
  <c r="J735" i="1"/>
  <c r="O735" i="1" s="1"/>
  <c r="P735" i="1" s="1"/>
  <c r="T735" i="1" s="1"/>
  <c r="J736" i="1"/>
  <c r="O736" i="1" s="1"/>
  <c r="P736" i="1" s="1"/>
  <c r="T736" i="1" s="1"/>
  <c r="J737" i="1"/>
  <c r="J739" i="1"/>
  <c r="O739" i="1" s="1"/>
  <c r="P739" i="1" s="1"/>
  <c r="T739" i="1" s="1"/>
  <c r="J740" i="1"/>
  <c r="O740" i="1" s="1"/>
  <c r="P740" i="1" s="1"/>
  <c r="T740" i="1" s="1"/>
  <c r="J742" i="1"/>
  <c r="O742" i="1" s="1"/>
  <c r="P742" i="1" s="1"/>
  <c r="T742" i="1" s="1"/>
  <c r="J743" i="1"/>
  <c r="O743" i="1" s="1"/>
  <c r="P743" i="1" s="1"/>
  <c r="T743" i="1" s="1"/>
  <c r="J744" i="1"/>
  <c r="O744" i="1" s="1"/>
  <c r="P744" i="1" s="1"/>
  <c r="T744" i="1" s="1"/>
  <c r="J745" i="1"/>
  <c r="O745" i="1" s="1"/>
  <c r="P745" i="1" s="1"/>
  <c r="T745" i="1" s="1"/>
  <c r="J746" i="1"/>
  <c r="O746" i="1" s="1"/>
  <c r="P746" i="1" s="1"/>
  <c r="T746" i="1" s="1"/>
  <c r="J747" i="1"/>
  <c r="O747" i="1" s="1"/>
  <c r="P747" i="1" s="1"/>
  <c r="T747" i="1" s="1"/>
  <c r="J748" i="1"/>
  <c r="O748" i="1" s="1"/>
  <c r="P748" i="1" s="1"/>
  <c r="T748" i="1" s="1"/>
  <c r="J749" i="1"/>
  <c r="O749" i="1" s="1"/>
  <c r="P749" i="1" s="1"/>
  <c r="T749" i="1" s="1"/>
  <c r="J750" i="1"/>
  <c r="O750" i="1" s="1"/>
  <c r="P750" i="1" s="1"/>
  <c r="T750" i="1" s="1"/>
  <c r="J751" i="1"/>
  <c r="O751" i="1" s="1"/>
  <c r="P751" i="1" s="1"/>
  <c r="T751" i="1" s="1"/>
  <c r="J752" i="1"/>
  <c r="O752" i="1" s="1"/>
  <c r="P752" i="1" s="1"/>
  <c r="T752" i="1" s="1"/>
  <c r="J753" i="1"/>
  <c r="O753" i="1" s="1"/>
  <c r="P753" i="1" s="1"/>
  <c r="T753" i="1" s="1"/>
  <c r="J754" i="1"/>
  <c r="O754" i="1" s="1"/>
  <c r="P754" i="1" s="1"/>
  <c r="T754" i="1" s="1"/>
  <c r="J755" i="1"/>
  <c r="O755" i="1" s="1"/>
  <c r="P755" i="1" s="1"/>
  <c r="T755" i="1" s="1"/>
  <c r="J756" i="1"/>
  <c r="O756" i="1" s="1"/>
  <c r="P756" i="1" s="1"/>
  <c r="T756" i="1" s="1"/>
  <c r="J757" i="1"/>
  <c r="O757" i="1" s="1"/>
  <c r="P757" i="1" s="1"/>
  <c r="T757" i="1" s="1"/>
  <c r="J758" i="1"/>
  <c r="O758" i="1" s="1"/>
  <c r="P758" i="1" s="1"/>
  <c r="T758" i="1" s="1"/>
  <c r="J759" i="1"/>
  <c r="O759" i="1" s="1"/>
  <c r="P759" i="1" s="1"/>
  <c r="T759" i="1" s="1"/>
  <c r="J760" i="1"/>
  <c r="O760" i="1" s="1"/>
  <c r="P760" i="1" s="1"/>
  <c r="T760" i="1" s="1"/>
  <c r="J761" i="1"/>
  <c r="O761" i="1" s="1"/>
  <c r="P761" i="1" s="1"/>
  <c r="T761" i="1" s="1"/>
  <c r="J762" i="1"/>
  <c r="O762" i="1" s="1"/>
  <c r="P762" i="1" s="1"/>
  <c r="T762" i="1" s="1"/>
  <c r="J763" i="1"/>
  <c r="O763" i="1" s="1"/>
  <c r="P763" i="1" s="1"/>
  <c r="T763" i="1" s="1"/>
  <c r="J764" i="1"/>
  <c r="O764" i="1" s="1"/>
  <c r="P764" i="1" s="1"/>
  <c r="T764" i="1" s="1"/>
  <c r="J765" i="1"/>
  <c r="O765" i="1" s="1"/>
  <c r="P765" i="1" s="1"/>
  <c r="T765" i="1" s="1"/>
  <c r="J766" i="1"/>
  <c r="O766" i="1" s="1"/>
  <c r="P766" i="1" s="1"/>
  <c r="T766" i="1" s="1"/>
  <c r="J767" i="1"/>
  <c r="O767" i="1" s="1"/>
  <c r="P767" i="1" s="1"/>
  <c r="T767" i="1" s="1"/>
  <c r="J768" i="1"/>
  <c r="O768" i="1" s="1"/>
  <c r="P768" i="1" s="1"/>
  <c r="T768" i="1" s="1"/>
  <c r="J769" i="1"/>
  <c r="O769" i="1" s="1"/>
  <c r="P769" i="1" s="1"/>
  <c r="T769" i="1" s="1"/>
  <c r="J770" i="1"/>
  <c r="O770" i="1" s="1"/>
  <c r="P770" i="1" s="1"/>
  <c r="T770" i="1" s="1"/>
  <c r="J771" i="1"/>
  <c r="O771" i="1" s="1"/>
  <c r="P771" i="1" s="1"/>
  <c r="T771" i="1" s="1"/>
  <c r="J772" i="1"/>
  <c r="O772" i="1" s="1"/>
  <c r="P772" i="1" s="1"/>
  <c r="T772" i="1" s="1"/>
  <c r="J773" i="1"/>
  <c r="O773" i="1" s="1"/>
  <c r="P773" i="1" s="1"/>
  <c r="T773" i="1" s="1"/>
  <c r="J774" i="1"/>
  <c r="O774" i="1" s="1"/>
  <c r="P774" i="1" s="1"/>
  <c r="T774" i="1" s="1"/>
  <c r="J775" i="1"/>
  <c r="O775" i="1" s="1"/>
  <c r="P775" i="1" s="1"/>
  <c r="T775" i="1" s="1"/>
  <c r="J776" i="1"/>
  <c r="O776" i="1" s="1"/>
  <c r="P776" i="1" s="1"/>
  <c r="T776" i="1" s="1"/>
  <c r="J777" i="1"/>
  <c r="O777" i="1" s="1"/>
  <c r="P777" i="1" s="1"/>
  <c r="T777" i="1" s="1"/>
  <c r="J778" i="1"/>
  <c r="J780" i="1"/>
  <c r="O780" i="1" s="1"/>
  <c r="P780" i="1" s="1"/>
  <c r="T780" i="1" s="1"/>
  <c r="J781" i="1"/>
  <c r="O781" i="1" s="1"/>
  <c r="P781" i="1" s="1"/>
  <c r="T781" i="1" s="1"/>
  <c r="J783" i="1"/>
  <c r="O783" i="1" s="1"/>
  <c r="P783" i="1" s="1"/>
  <c r="T783" i="1" s="1"/>
  <c r="J784" i="1"/>
  <c r="O784" i="1" s="1"/>
  <c r="P784" i="1" s="1"/>
  <c r="T784" i="1" s="1"/>
  <c r="J785" i="1"/>
  <c r="O785" i="1" s="1"/>
  <c r="P785" i="1" s="1"/>
  <c r="T785" i="1" s="1"/>
  <c r="J786" i="1"/>
  <c r="O786" i="1" s="1"/>
  <c r="P786" i="1" s="1"/>
  <c r="T786" i="1" s="1"/>
  <c r="J787" i="1"/>
  <c r="O787" i="1" s="1"/>
  <c r="P787" i="1" s="1"/>
  <c r="T787" i="1" s="1"/>
  <c r="J788" i="1"/>
  <c r="O788" i="1" s="1"/>
  <c r="P788" i="1" s="1"/>
  <c r="T788" i="1" s="1"/>
  <c r="J789" i="1"/>
  <c r="O789" i="1" s="1"/>
  <c r="P789" i="1" s="1"/>
  <c r="T789" i="1" s="1"/>
  <c r="J790" i="1"/>
  <c r="O790" i="1" s="1"/>
  <c r="P790" i="1" s="1"/>
  <c r="T790" i="1" s="1"/>
  <c r="J791" i="1"/>
  <c r="O791" i="1" s="1"/>
  <c r="P791" i="1" s="1"/>
  <c r="T791" i="1" s="1"/>
  <c r="J793" i="1"/>
  <c r="O793" i="1" s="1"/>
  <c r="P793" i="1" s="1"/>
  <c r="T793" i="1" s="1"/>
  <c r="J795" i="1"/>
  <c r="O795" i="1" s="1"/>
  <c r="P795" i="1" s="1"/>
  <c r="T795" i="1" s="1"/>
  <c r="J796" i="1"/>
  <c r="O796" i="1" l="1"/>
  <c r="P796" i="1" s="1"/>
  <c r="T796" i="1" s="1"/>
  <c r="I211" i="1"/>
  <c r="J211" i="1" s="1"/>
  <c r="O211" i="1" s="1"/>
  <c r="P211" i="1" s="1"/>
  <c r="T211" i="1" s="1"/>
  <c r="I249" i="1"/>
  <c r="J249" i="1" s="1"/>
  <c r="O249" i="1" s="1"/>
  <c r="P249" i="1" s="1"/>
  <c r="T249" i="1" s="1"/>
  <c r="I41" i="1"/>
  <c r="J41" i="1" s="1"/>
  <c r="O41" i="1" s="1"/>
  <c r="P41" i="1" s="1"/>
  <c r="T41" i="1" s="1"/>
  <c r="I51" i="1"/>
  <c r="J51" i="1" s="1"/>
  <c r="O51" i="1" s="1"/>
  <c r="P51" i="1" s="1"/>
  <c r="T51" i="1" s="1"/>
  <c r="I137" i="1"/>
  <c r="J137" i="1" s="1"/>
  <c r="I77" i="1"/>
  <c r="J77" i="1" s="1"/>
  <c r="O77" i="1" s="1"/>
  <c r="P77" i="1" s="1"/>
  <c r="T77" i="1" s="1"/>
  <c r="I88" i="1"/>
  <c r="J88" i="1" s="1"/>
  <c r="O88" i="1" s="1"/>
  <c r="P88" i="1" s="1"/>
  <c r="T88" i="1" s="1"/>
  <c r="I162" i="1"/>
  <c r="J162" i="1" s="1"/>
  <c r="O162" i="1" s="1"/>
  <c r="P162" i="1" s="1"/>
  <c r="T162" i="1" s="1"/>
  <c r="I659" i="1"/>
  <c r="J659" i="1" s="1"/>
  <c r="O659" i="1" s="1"/>
  <c r="P659" i="1" s="1"/>
  <c r="T659" i="1" s="1"/>
  <c r="I607" i="1"/>
  <c r="J607" i="1" s="1"/>
  <c r="I127" i="1"/>
  <c r="J127" i="1" s="1"/>
  <c r="O127" i="1" s="1"/>
  <c r="P127" i="1" s="1"/>
  <c r="T127" i="1" s="1"/>
  <c r="I53" i="1"/>
  <c r="J53" i="1" s="1"/>
  <c r="O53" i="1" s="1"/>
  <c r="P53" i="1" s="1"/>
  <c r="T53" i="1" s="1"/>
  <c r="I64" i="1"/>
  <c r="J64" i="1" s="1"/>
  <c r="O64" i="1" s="1"/>
  <c r="P64" i="1" s="1"/>
  <c r="T64" i="1" s="1"/>
  <c r="I55" i="1"/>
  <c r="J55" i="1" s="1"/>
  <c r="O55" i="1" s="1"/>
  <c r="P55" i="1" s="1"/>
  <c r="T55" i="1" s="1"/>
  <c r="I74" i="1"/>
  <c r="J74" i="1" s="1"/>
  <c r="O74" i="1" s="1"/>
  <c r="P74" i="1" s="1"/>
  <c r="T74" i="1" s="1"/>
  <c r="I128" i="1"/>
  <c r="I217" i="1"/>
  <c r="I193" i="1"/>
  <c r="J193" i="1" s="1"/>
  <c r="O193" i="1" s="1"/>
  <c r="P193" i="1" s="1"/>
  <c r="T193" i="1" s="1"/>
  <c r="I234" i="1"/>
  <c r="J234" i="1" s="1"/>
  <c r="O234" i="1" s="1"/>
  <c r="P234" i="1" s="1"/>
  <c r="T234" i="1" s="1"/>
  <c r="I263" i="1"/>
  <c r="I239" i="1"/>
  <c r="I226" i="1"/>
  <c r="I219" i="1"/>
  <c r="J219" i="1" s="1"/>
  <c r="O219" i="1" s="1"/>
  <c r="P219" i="1" s="1"/>
  <c r="T219" i="1" s="1"/>
  <c r="I245" i="1"/>
  <c r="J245" i="1" s="1"/>
  <c r="O245" i="1" s="1"/>
  <c r="P245" i="1" s="1"/>
  <c r="T245" i="1" s="1"/>
  <c r="I185" i="1"/>
  <c r="I192" i="1"/>
  <c r="I200" i="1"/>
  <c r="J200" i="1" s="1"/>
  <c r="O200" i="1" s="1"/>
  <c r="P200" i="1" s="1"/>
  <c r="T200" i="1" s="1"/>
  <c r="I187" i="1"/>
  <c r="J187" i="1" s="1"/>
  <c r="O187" i="1" s="1"/>
  <c r="P187" i="1" s="1"/>
  <c r="T187" i="1" s="1"/>
  <c r="I186" i="1"/>
  <c r="J186" i="1" s="1"/>
  <c r="O186" i="1" s="1"/>
  <c r="P186" i="1" s="1"/>
  <c r="T186" i="1" s="1"/>
  <c r="I188" i="1"/>
  <c r="J188" i="1" s="1"/>
  <c r="O188" i="1" s="1"/>
  <c r="P188" i="1" s="1"/>
  <c r="T188" i="1" s="1"/>
  <c r="I202" i="1"/>
  <c r="I256" i="1"/>
  <c r="I206" i="1"/>
  <c r="I205" i="1"/>
  <c r="I93" i="1"/>
  <c r="J93" i="1" s="1"/>
  <c r="O93" i="1" s="1"/>
  <c r="P93" i="1" s="1"/>
  <c r="T93" i="1" s="1"/>
  <c r="I244" i="1"/>
  <c r="J244" i="1" s="1"/>
  <c r="O244" i="1" s="1"/>
  <c r="P244" i="1" s="1"/>
  <c r="T244" i="1" s="1"/>
  <c r="I235" i="1"/>
  <c r="J235" i="1" s="1"/>
  <c r="O235" i="1" s="1"/>
  <c r="P235" i="1" s="1"/>
  <c r="T235" i="1" s="1"/>
  <c r="I297" i="1"/>
  <c r="J297" i="1" s="1"/>
  <c r="I255" i="1"/>
  <c r="I698" i="1"/>
  <c r="J698" i="1" s="1"/>
  <c r="O698" i="1" s="1"/>
  <c r="P698" i="1" s="1"/>
  <c r="T698" i="1" s="1"/>
  <c r="I712" i="1"/>
  <c r="J712" i="1" s="1"/>
  <c r="O712" i="1" s="1"/>
  <c r="P712" i="1" s="1"/>
  <c r="T712" i="1" s="1"/>
  <c r="J202" i="1" l="1"/>
  <c r="O202" i="1" s="1"/>
  <c r="P202" i="1" s="1"/>
  <c r="T202" i="1" s="1"/>
  <c r="J192" i="1"/>
  <c r="O192" i="1" s="1"/>
  <c r="P192" i="1" s="1"/>
  <c r="T192" i="1" s="1"/>
  <c r="J217" i="1"/>
  <c r="O217" i="1" s="1"/>
  <c r="P217" i="1" s="1"/>
  <c r="T217" i="1" s="1"/>
  <c r="O137" i="1"/>
  <c r="P137" i="1" s="1"/>
  <c r="T137" i="1" s="1"/>
  <c r="O297" i="1"/>
  <c r="P297" i="1" s="1"/>
  <c r="T297" i="1" s="1"/>
  <c r="O607" i="1"/>
  <c r="P607" i="1" s="1"/>
  <c r="T607" i="1" s="1"/>
  <c r="I97" i="1"/>
  <c r="J97" i="1" s="1"/>
  <c r="O97" i="1" s="1"/>
  <c r="P97" i="1" s="1"/>
  <c r="T97" i="1" s="1"/>
  <c r="I144" i="1" l="1"/>
  <c r="J144" i="1" s="1"/>
  <c r="O144" i="1" s="1"/>
  <c r="P144" i="1" s="1"/>
  <c r="T144" i="1" s="1"/>
  <c r="I79" i="1"/>
  <c r="J79" i="1" s="1"/>
  <c r="O79" i="1" s="1"/>
  <c r="P79" i="1" s="1"/>
  <c r="T79" i="1" s="1"/>
  <c r="I197" i="1"/>
  <c r="J197" i="1" l="1"/>
  <c r="O197" i="1" s="1"/>
  <c r="P197" i="1" s="1"/>
  <c r="T197" i="1" s="1"/>
  <c r="I166" i="1"/>
  <c r="J166" i="1" s="1"/>
  <c r="O166" i="1" s="1"/>
  <c r="P166" i="1" s="1"/>
  <c r="T166" i="1" s="1"/>
  <c r="I204" i="1"/>
  <c r="J204" i="1" s="1"/>
  <c r="O204" i="1" s="1"/>
  <c r="P204" i="1" s="1"/>
  <c r="T204" i="1" s="1"/>
  <c r="H17" i="1" l="1"/>
  <c r="J17" i="1" s="1"/>
  <c r="O17" i="1" s="1"/>
  <c r="P17" i="1" s="1"/>
  <c r="T17" i="1" s="1"/>
  <c r="S605" i="1" l="1"/>
  <c r="H448" i="1" l="1"/>
  <c r="J448" i="1" s="1"/>
  <c r="O448" i="1" s="1"/>
  <c r="P448" i="1" s="1"/>
  <c r="T448" i="1" s="1"/>
  <c r="H443" i="1"/>
  <c r="J443" i="1" s="1"/>
  <c r="O443" i="1" s="1"/>
  <c r="P443" i="1" s="1"/>
  <c r="T443" i="1" s="1"/>
  <c r="H414" i="1"/>
  <c r="J414" i="1" s="1"/>
  <c r="O414" i="1" s="1"/>
  <c r="P414" i="1" s="1"/>
  <c r="T414" i="1" s="1"/>
  <c r="H406" i="1"/>
  <c r="J406" i="1" s="1"/>
  <c r="O406" i="1" s="1"/>
  <c r="P406" i="1" s="1"/>
  <c r="T406" i="1" s="1"/>
  <c r="T518" i="1" l="1"/>
  <c r="H391" i="1"/>
  <c r="J391" i="1" s="1"/>
  <c r="O391" i="1" s="1"/>
  <c r="P391" i="1" s="1"/>
  <c r="T391" i="1" s="1"/>
  <c r="H365" i="1"/>
  <c r="J365" i="1" s="1"/>
  <c r="O365" i="1" s="1"/>
  <c r="P365" i="1" s="1"/>
  <c r="T365" i="1" s="1"/>
  <c r="H364" i="1"/>
  <c r="J364" i="1" s="1"/>
  <c r="O364" i="1" s="1"/>
  <c r="P364" i="1" s="1"/>
  <c r="T364" i="1" s="1"/>
  <c r="H346" i="1"/>
  <c r="J346" i="1" s="1"/>
  <c r="O346" i="1" s="1"/>
  <c r="P346" i="1" s="1"/>
  <c r="T346" i="1" s="1"/>
  <c r="H344" i="1"/>
  <c r="J344" i="1" s="1"/>
  <c r="O344" i="1" s="1"/>
  <c r="P344" i="1" s="1"/>
  <c r="T344" i="1" s="1"/>
  <c r="H343" i="1"/>
  <c r="J343" i="1" s="1"/>
  <c r="O343" i="1" s="1"/>
  <c r="P343" i="1" s="1"/>
  <c r="T343" i="1" s="1"/>
  <c r="H264" i="1"/>
  <c r="J264" i="1" s="1"/>
  <c r="O264" i="1" s="1"/>
  <c r="P264" i="1" s="1"/>
  <c r="T264" i="1" s="1"/>
  <c r="H263" i="1"/>
  <c r="J263" i="1" s="1"/>
  <c r="O263" i="1" s="1"/>
  <c r="P263" i="1" s="1"/>
  <c r="T263" i="1" s="1"/>
  <c r="H260" i="1"/>
  <c r="J260" i="1" s="1"/>
  <c r="O260" i="1" s="1"/>
  <c r="P260" i="1" s="1"/>
  <c r="T260" i="1" s="1"/>
  <c r="H256" i="1"/>
  <c r="J256" i="1" s="1"/>
  <c r="O256" i="1" s="1"/>
  <c r="P256" i="1" s="1"/>
  <c r="T256" i="1" s="1"/>
  <c r="H255" i="1"/>
  <c r="J255" i="1" s="1"/>
  <c r="O255" i="1" s="1"/>
  <c r="P255" i="1" s="1"/>
  <c r="T255" i="1" s="1"/>
  <c r="H210" i="1"/>
  <c r="J210" i="1" s="1"/>
  <c r="O210" i="1" s="1"/>
  <c r="P210" i="1" s="1"/>
  <c r="T210" i="1" s="1"/>
  <c r="H241" i="1"/>
  <c r="J241" i="1" s="1"/>
  <c r="O241" i="1" s="1"/>
  <c r="P241" i="1" s="1"/>
  <c r="T241" i="1" s="1"/>
  <c r="H230" i="1"/>
  <c r="J230" i="1" s="1"/>
  <c r="O230" i="1" s="1"/>
  <c r="P230" i="1" s="1"/>
  <c r="T230" i="1" s="1"/>
  <c r="H226" i="1"/>
  <c r="J226" i="1" s="1"/>
  <c r="O226" i="1" s="1"/>
  <c r="P226" i="1" s="1"/>
  <c r="T226" i="1" s="1"/>
  <c r="H239" i="1"/>
  <c r="J239" i="1" s="1"/>
  <c r="O239" i="1" s="1"/>
  <c r="P239" i="1" s="1"/>
  <c r="T239" i="1" s="1"/>
  <c r="H206" i="1"/>
  <c r="J206" i="1" s="1"/>
  <c r="O206" i="1" s="1"/>
  <c r="P206" i="1" s="1"/>
  <c r="T206" i="1" s="1"/>
  <c r="H205" i="1"/>
  <c r="J205" i="1" s="1"/>
  <c r="O205" i="1" s="1"/>
  <c r="P205" i="1" s="1"/>
  <c r="T205" i="1" s="1"/>
  <c r="H185" i="1"/>
  <c r="J185" i="1" s="1"/>
  <c r="O185" i="1" s="1"/>
  <c r="P185" i="1" s="1"/>
  <c r="T185" i="1" s="1"/>
  <c r="H163" i="1"/>
  <c r="J163" i="1" s="1"/>
  <c r="O163" i="1" s="1"/>
  <c r="P163" i="1" s="1"/>
  <c r="T163" i="1" s="1"/>
  <c r="H149" i="1"/>
  <c r="J149" i="1" s="1"/>
  <c r="O149" i="1" s="1"/>
  <c r="P149" i="1" s="1"/>
  <c r="H128" i="1"/>
  <c r="J128" i="1" s="1"/>
  <c r="O128" i="1" s="1"/>
  <c r="P128" i="1" s="1"/>
  <c r="T128" i="1" s="1"/>
  <c r="H100" i="1"/>
  <c r="J100" i="1" s="1"/>
  <c r="O100" i="1" s="1"/>
  <c r="P100" i="1" s="1"/>
  <c r="T100" i="1" s="1"/>
  <c r="H86" i="1"/>
  <c r="J86" i="1" s="1"/>
  <c r="O86" i="1" s="1"/>
  <c r="P86" i="1" s="1"/>
  <c r="T86" i="1" s="1"/>
  <c r="H71" i="1"/>
  <c r="J71" i="1" s="1"/>
  <c r="O71" i="1" s="1"/>
  <c r="P71" i="1" s="1"/>
  <c r="T71" i="1" s="1"/>
  <c r="H67" i="1"/>
  <c r="J67" i="1" s="1"/>
  <c r="O67" i="1" s="1"/>
  <c r="P67" i="1" s="1"/>
  <c r="T67" i="1" s="1"/>
  <c r="H57" i="1"/>
  <c r="J57" i="1" s="1"/>
  <c r="O57" i="1" s="1"/>
  <c r="P57" i="1" s="1"/>
  <c r="T57" i="1" s="1"/>
  <c r="H31" i="1"/>
  <c r="J31" i="1" s="1"/>
  <c r="O31" i="1" s="1"/>
  <c r="P31" i="1" s="1"/>
  <c r="T31" i="1" s="1"/>
  <c r="H29" i="1"/>
  <c r="J29" i="1" s="1"/>
  <c r="O29" i="1" s="1"/>
  <c r="P29" i="1" s="1"/>
  <c r="T29" i="1" s="1"/>
  <c r="H27" i="1"/>
  <c r="J27" i="1" s="1"/>
  <c r="O27" i="1" s="1"/>
  <c r="P27" i="1" s="1"/>
  <c r="T27" i="1" s="1"/>
  <c r="S387" i="1" l="1"/>
  <c r="S650" i="1"/>
  <c r="S692" i="1"/>
  <c r="T208" i="1" l="1"/>
  <c r="T273" i="1"/>
  <c r="R309" i="1"/>
  <c r="T309" i="1" s="1"/>
  <c r="R149" i="1"/>
  <c r="T149" i="1" s="1"/>
  <c r="T305" i="1" l="1"/>
  <c r="R84" i="1"/>
  <c r="T84" i="1" s="1"/>
  <c r="T183" i="1" s="1"/>
  <c r="T399" i="1" l="1"/>
  <c r="S569" i="1"/>
  <c r="S568" i="1"/>
  <c r="S231" i="1"/>
  <c r="S218" i="1"/>
  <c r="S216" i="1"/>
  <c r="S215" i="1"/>
  <c r="S211" i="1"/>
  <c r="S214" i="1"/>
  <c r="S217" i="1"/>
  <c r="S207" i="1"/>
  <c r="S563" i="1"/>
  <c r="S562" i="1"/>
  <c r="S560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01" i="1"/>
  <c r="S502" i="1"/>
  <c r="S503" i="1"/>
  <c r="S504" i="1"/>
  <c r="S505" i="1"/>
  <c r="S494" i="1"/>
  <c r="S492" i="1"/>
  <c r="S479" i="1"/>
  <c r="S475" i="1"/>
  <c r="S461" i="1"/>
  <c r="S431" i="1"/>
  <c r="S426" i="1"/>
  <c r="S423" i="1"/>
  <c r="S415" i="1"/>
  <c r="S416" i="1"/>
  <c r="S417" i="1"/>
  <c r="S418" i="1"/>
  <c r="S407" i="1"/>
  <c r="S395" i="1"/>
  <c r="S383" i="1"/>
  <c r="S361" i="1"/>
  <c r="S359" i="1"/>
  <c r="S356" i="1"/>
  <c r="S357" i="1"/>
  <c r="S354" i="1"/>
  <c r="S353" i="1"/>
  <c r="S341" i="1"/>
  <c r="S318" i="1"/>
  <c r="S314" i="1"/>
  <c r="S293" i="1"/>
  <c r="S281" i="1"/>
  <c r="S249" i="1"/>
  <c r="S247" i="1"/>
  <c r="S244" i="1"/>
  <c r="S242" i="1"/>
  <c r="T554" i="1" l="1"/>
  <c r="S330" i="1"/>
  <c r="S368" i="1" l="1"/>
  <c r="S369" i="1"/>
  <c r="S370" i="1"/>
  <c r="S371" i="1"/>
  <c r="S240" i="1"/>
  <c r="S150" i="1" l="1"/>
  <c r="S65" i="1" l="1"/>
  <c r="S269" i="1" l="1"/>
  <c r="S785" i="1" l="1"/>
  <c r="S795" i="1" l="1"/>
  <c r="S791" i="1"/>
  <c r="S788" i="1"/>
  <c r="S787" i="1"/>
  <c r="S786" i="1"/>
  <c r="S784" i="1"/>
  <c r="S781" i="1"/>
  <c r="S780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5" i="1"/>
  <c r="S746" i="1"/>
  <c r="S744" i="1"/>
  <c r="S743" i="1"/>
  <c r="S740" i="1"/>
  <c r="S739" i="1"/>
  <c r="S736" i="1"/>
  <c r="S735" i="1"/>
  <c r="S734" i="1"/>
  <c r="S733" i="1"/>
  <c r="S732" i="1"/>
  <c r="S731" i="1"/>
  <c r="S730" i="1"/>
  <c r="S729" i="1"/>
  <c r="S728" i="1"/>
  <c r="S727" i="1"/>
  <c r="S726" i="1"/>
  <c r="S724" i="1"/>
  <c r="S725" i="1"/>
  <c r="S718" i="1"/>
  <c r="S720" i="1"/>
  <c r="S719" i="1"/>
  <c r="S717" i="1"/>
  <c r="S716" i="1"/>
  <c r="S715" i="1"/>
  <c r="S714" i="1"/>
  <c r="S713" i="1"/>
  <c r="S712" i="1"/>
  <c r="S711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1" i="1"/>
  <c r="S690" i="1"/>
  <c r="S689" i="1"/>
  <c r="S688" i="1"/>
  <c r="S687" i="1"/>
  <c r="S686" i="1"/>
  <c r="S685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68" i="1"/>
  <c r="S667" i="1"/>
  <c r="S666" i="1"/>
  <c r="S669" i="1"/>
  <c r="S665" i="1"/>
  <c r="S663" i="1"/>
  <c r="S664" i="1"/>
  <c r="S662" i="1"/>
  <c r="S659" i="1"/>
  <c r="S661" i="1"/>
  <c r="S658" i="1"/>
  <c r="S656" i="1"/>
  <c r="S655" i="1"/>
  <c r="S654" i="1"/>
  <c r="S653" i="1"/>
  <c r="S651" i="1"/>
  <c r="S649" i="1"/>
  <c r="S648" i="1"/>
  <c r="S647" i="1"/>
  <c r="S646" i="1"/>
  <c r="S645" i="1"/>
  <c r="S643" i="1"/>
  <c r="S642" i="1"/>
  <c r="S641" i="1"/>
  <c r="S640" i="1"/>
  <c r="S639" i="1"/>
  <c r="S636" i="1"/>
  <c r="S635" i="1"/>
  <c r="S634" i="1"/>
  <c r="S633" i="1"/>
  <c r="S632" i="1"/>
  <c r="S631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07" i="1"/>
  <c r="S606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8" i="1"/>
  <c r="S586" i="1"/>
  <c r="S585" i="1"/>
  <c r="S584" i="1"/>
  <c r="S583" i="1"/>
  <c r="S582" i="1"/>
  <c r="S581" i="1"/>
  <c r="S579" i="1"/>
  <c r="S578" i="1"/>
  <c r="S577" i="1"/>
  <c r="S576" i="1"/>
  <c r="S575" i="1"/>
  <c r="S573" i="1"/>
  <c r="S572" i="1"/>
  <c r="S570" i="1"/>
  <c r="S567" i="1"/>
  <c r="S566" i="1"/>
  <c r="S565" i="1"/>
  <c r="S564" i="1"/>
  <c r="S559" i="1"/>
  <c r="S553" i="1"/>
  <c r="S552" i="1"/>
  <c r="S550" i="1"/>
  <c r="S551" i="1"/>
  <c r="S549" i="1"/>
  <c r="S547" i="1"/>
  <c r="S521" i="1"/>
  <c r="S520" i="1"/>
  <c r="S517" i="1"/>
  <c r="S516" i="1"/>
  <c r="S514" i="1"/>
  <c r="S513" i="1"/>
  <c r="S512" i="1"/>
  <c r="S511" i="1"/>
  <c r="S510" i="1"/>
  <c r="S509" i="1"/>
  <c r="S508" i="1"/>
  <c r="S507" i="1"/>
  <c r="S506" i="1"/>
  <c r="S500" i="1"/>
  <c r="S499" i="1"/>
  <c r="S498" i="1"/>
  <c r="S497" i="1"/>
  <c r="S496" i="1"/>
  <c r="S493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8" i="1"/>
  <c r="S477" i="1"/>
  <c r="S476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0" i="1"/>
  <c r="S458" i="1"/>
  <c r="S459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0" i="1"/>
  <c r="S429" i="1"/>
  <c r="S428" i="1"/>
  <c r="S427" i="1"/>
  <c r="S425" i="1"/>
  <c r="S424" i="1"/>
  <c r="S422" i="1"/>
  <c r="S421" i="1"/>
  <c r="S420" i="1"/>
  <c r="S419" i="1"/>
  <c r="S414" i="1"/>
  <c r="S413" i="1"/>
  <c r="S412" i="1"/>
  <c r="S411" i="1"/>
  <c r="S410" i="1"/>
  <c r="S409" i="1"/>
  <c r="S408" i="1"/>
  <c r="S406" i="1"/>
  <c r="S405" i="1"/>
  <c r="S404" i="1"/>
  <c r="S403" i="1"/>
  <c r="S402" i="1"/>
  <c r="S401" i="1"/>
  <c r="S398" i="1"/>
  <c r="S397" i="1"/>
  <c r="S396" i="1"/>
  <c r="S394" i="1"/>
  <c r="S393" i="1"/>
  <c r="S392" i="1"/>
  <c r="S391" i="1"/>
  <c r="S390" i="1"/>
  <c r="S389" i="1"/>
  <c r="S388" i="1"/>
  <c r="S386" i="1"/>
  <c r="S385" i="1"/>
  <c r="S384" i="1"/>
  <c r="S382" i="1"/>
  <c r="S381" i="1"/>
  <c r="S380" i="1"/>
  <c r="S379" i="1"/>
  <c r="S378" i="1"/>
  <c r="S377" i="1"/>
  <c r="S376" i="1"/>
  <c r="S375" i="1"/>
  <c r="S374" i="1"/>
  <c r="S373" i="1"/>
  <c r="S372" i="1"/>
  <c r="S367" i="1"/>
  <c r="S366" i="1"/>
  <c r="S365" i="1"/>
  <c r="S364" i="1"/>
  <c r="S363" i="1"/>
  <c r="S362" i="1"/>
  <c r="S360" i="1"/>
  <c r="S358" i="1"/>
  <c r="S355" i="1"/>
  <c r="S352" i="1"/>
  <c r="S351" i="1"/>
  <c r="S350" i="1"/>
  <c r="S349" i="1"/>
  <c r="S348" i="1"/>
  <c r="S347" i="1"/>
  <c r="S346" i="1"/>
  <c r="S345" i="1"/>
  <c r="S344" i="1"/>
  <c r="S343" i="1"/>
  <c r="S342" i="1"/>
  <c r="S340" i="1"/>
  <c r="S339" i="1"/>
  <c r="S338" i="1"/>
  <c r="S337" i="1"/>
  <c r="S336" i="1"/>
  <c r="S335" i="1"/>
  <c r="S334" i="1"/>
  <c r="S333" i="1"/>
  <c r="S332" i="1"/>
  <c r="S331" i="1"/>
  <c r="S329" i="1"/>
  <c r="S328" i="1"/>
  <c r="S327" i="1"/>
  <c r="S326" i="1"/>
  <c r="S325" i="1"/>
  <c r="S324" i="1"/>
  <c r="S323" i="1"/>
  <c r="S322" i="1"/>
  <c r="S321" i="1"/>
  <c r="S320" i="1"/>
  <c r="S319" i="1"/>
  <c r="S317" i="1"/>
  <c r="S316" i="1"/>
  <c r="S315" i="1"/>
  <c r="S313" i="1"/>
  <c r="S312" i="1"/>
  <c r="S311" i="1"/>
  <c r="S310" i="1"/>
  <c r="S309" i="1"/>
  <c r="S308" i="1"/>
  <c r="S307" i="1"/>
  <c r="S304" i="1"/>
  <c r="S303" i="1"/>
  <c r="S302" i="1"/>
  <c r="S301" i="1"/>
  <c r="S300" i="1"/>
  <c r="S299" i="1"/>
  <c r="S298" i="1"/>
  <c r="S297" i="1"/>
  <c r="S296" i="1"/>
  <c r="S295" i="1"/>
  <c r="S294" i="1"/>
  <c r="S292" i="1"/>
  <c r="S291" i="1"/>
  <c r="S290" i="1"/>
  <c r="S289" i="1"/>
  <c r="S287" i="1"/>
  <c r="S286" i="1"/>
  <c r="S285" i="1"/>
  <c r="S284" i="1"/>
  <c r="S283" i="1"/>
  <c r="S282" i="1"/>
  <c r="S280" i="1"/>
  <c r="S279" i="1"/>
  <c r="S278" i="1"/>
  <c r="S277" i="1"/>
  <c r="S276" i="1"/>
  <c r="S275" i="1"/>
  <c r="S272" i="1"/>
  <c r="S270" i="1"/>
  <c r="S268" i="1"/>
  <c r="S267" i="1"/>
  <c r="S265" i="1"/>
  <c r="S264" i="1"/>
  <c r="S263" i="1"/>
  <c r="S262" i="1"/>
  <c r="S261" i="1"/>
  <c r="S260" i="1"/>
  <c r="S259" i="1"/>
  <c r="S256" i="1"/>
  <c r="S255" i="1"/>
  <c r="S254" i="1"/>
  <c r="S253" i="1"/>
  <c r="S252" i="1"/>
  <c r="S210" i="1"/>
  <c r="S251" i="1"/>
  <c r="S248" i="1"/>
  <c r="S246" i="1"/>
  <c r="S245" i="1"/>
  <c r="S243" i="1"/>
  <c r="S241" i="1"/>
  <c r="S237" i="1"/>
  <c r="S238" i="1"/>
  <c r="S235" i="1"/>
  <c r="S234" i="1"/>
  <c r="S233" i="1"/>
  <c r="S232" i="1"/>
  <c r="S230" i="1"/>
  <c r="S229" i="1"/>
  <c r="S228" i="1"/>
  <c r="S227" i="1"/>
  <c r="S226" i="1"/>
  <c r="S225" i="1"/>
  <c r="S224" i="1"/>
  <c r="S223" i="1"/>
  <c r="S239" i="1"/>
  <c r="S219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1" i="1"/>
  <c r="S179" i="1"/>
  <c r="S178" i="1"/>
  <c r="S177" i="1"/>
  <c r="S176" i="1"/>
  <c r="S173" i="1"/>
  <c r="S171" i="1"/>
  <c r="S169" i="1"/>
  <c r="S167" i="1"/>
  <c r="S166" i="1"/>
  <c r="S165" i="1"/>
  <c r="S163" i="1"/>
  <c r="S162" i="1"/>
  <c r="S161" i="1"/>
  <c r="S159" i="1"/>
  <c r="S158" i="1"/>
  <c r="S157" i="1"/>
  <c r="S156" i="1"/>
  <c r="S155" i="1"/>
  <c r="S152" i="1"/>
  <c r="S153" i="1"/>
  <c r="S151" i="1"/>
  <c r="S149" i="1"/>
  <c r="S148" i="1"/>
  <c r="S146" i="1"/>
  <c r="S144" i="1"/>
  <c r="S142" i="1"/>
  <c r="S140" i="1"/>
  <c r="S139" i="1"/>
  <c r="S138" i="1"/>
  <c r="S137" i="1"/>
  <c r="S136" i="1"/>
  <c r="S135" i="1"/>
  <c r="S134" i="1"/>
  <c r="S133" i="1"/>
  <c r="S132" i="1"/>
  <c r="S130" i="1"/>
  <c r="S129" i="1"/>
  <c r="S128" i="1"/>
  <c r="S127" i="1"/>
  <c r="S125" i="1"/>
  <c r="S124" i="1"/>
  <c r="S121" i="1"/>
  <c r="S120" i="1"/>
  <c r="S119" i="1"/>
  <c r="S117" i="1"/>
  <c r="S115" i="1"/>
  <c r="S114" i="1"/>
  <c r="S113" i="1"/>
  <c r="S112" i="1"/>
  <c r="S111" i="1"/>
  <c r="S109" i="1"/>
  <c r="S107" i="1"/>
  <c r="S105" i="1"/>
  <c r="S104" i="1"/>
  <c r="S103" i="1"/>
  <c r="S102" i="1"/>
  <c r="S100" i="1"/>
  <c r="S99" i="1"/>
  <c r="S97" i="1"/>
  <c r="S95" i="1"/>
  <c r="S93" i="1"/>
  <c r="S92" i="1"/>
  <c r="S88" i="1"/>
  <c r="S87" i="1"/>
  <c r="S86" i="1"/>
  <c r="S84" i="1"/>
  <c r="S83" i="1"/>
  <c r="S82" i="1"/>
  <c r="S81" i="1"/>
  <c r="S79" i="1"/>
  <c r="S77" i="1"/>
  <c r="S76" i="1"/>
  <c r="S74" i="1"/>
  <c r="S72" i="1"/>
  <c r="S71" i="1"/>
  <c r="S70" i="1"/>
  <c r="S68" i="1"/>
  <c r="S67" i="1"/>
  <c r="S66" i="1"/>
  <c r="S64" i="1"/>
  <c r="S63" i="1"/>
  <c r="S62" i="1"/>
  <c r="S61" i="1"/>
  <c r="S60" i="1"/>
  <c r="S59" i="1"/>
  <c r="S58" i="1"/>
  <c r="S57" i="1"/>
  <c r="S56" i="1"/>
  <c r="S55" i="1"/>
  <c r="S53" i="1"/>
  <c r="S51" i="1"/>
  <c r="S50" i="1"/>
  <c r="S49" i="1"/>
  <c r="S48" i="1"/>
  <c r="S47" i="1"/>
  <c r="S46" i="1"/>
  <c r="S45" i="1"/>
  <c r="S44" i="1"/>
  <c r="S43" i="1"/>
  <c r="S41" i="1"/>
  <c r="S40" i="1"/>
  <c r="S39" i="1"/>
  <c r="S38" i="1"/>
  <c r="S37" i="1"/>
  <c r="S36" i="1"/>
  <c r="S35" i="1"/>
  <c r="S33" i="1"/>
  <c r="S31" i="1"/>
  <c r="S29" i="1"/>
  <c r="S27" i="1"/>
  <c r="S23" i="1"/>
  <c r="S25" i="1"/>
  <c r="S22" i="1"/>
  <c r="S21" i="1"/>
  <c r="S20" i="1"/>
  <c r="S19" i="1"/>
  <c r="S17" i="1"/>
  <c r="S164" i="1"/>
  <c r="S16" i="1"/>
  <c r="S14" i="1"/>
  <c r="S11" i="1"/>
  <c r="T608" i="1" l="1"/>
  <c r="T721" i="1" s="1"/>
  <c r="T737" i="1" s="1"/>
  <c r="T778" i="1" s="1"/>
  <c r="T798" i="1" s="1"/>
  <c r="T799" i="1" s="1"/>
  <c r="H799" i="1"/>
  <c r="R799" i="1" l="1"/>
</calcChain>
</file>

<file path=xl/comments1.xml><?xml version="1.0" encoding="utf-8"?>
<comments xmlns="http://schemas.openxmlformats.org/spreadsheetml/2006/main">
  <authors>
    <author>Dauris Alberto Diaz Jimenez</author>
  </authors>
  <commentList>
    <comment ref="L137" authorId="0" shapeId="0">
      <text>
        <r>
          <rPr>
            <b/>
            <sz val="9"/>
            <color indexed="81"/>
            <rFont val="Tahoma"/>
            <charset val="1"/>
          </rPr>
          <t>Dauris Alberto Diaz Jimenez: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138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57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58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92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PINES DE 2CM IDENTIFICADOR REDONDO CON LOGO DEL (INTRANT)</t>
        </r>
      </text>
    </comment>
  </commentList>
</comments>
</file>

<file path=xl/sharedStrings.xml><?xml version="1.0" encoding="utf-8"?>
<sst xmlns="http://schemas.openxmlformats.org/spreadsheetml/2006/main" count="2492" uniqueCount="842">
  <si>
    <t>No. Orden</t>
  </si>
  <si>
    <t>FECHA ULTIMA ENTRADA</t>
  </si>
  <si>
    <t>CODIGO DE BIENES NACIONALES ( si aplica)</t>
  </si>
  <si>
    <t>PERIODO DE ADQUISICION</t>
  </si>
  <si>
    <t>CODIGO INSTITUCIONAL</t>
  </si>
  <si>
    <t>DESCRIPCION DEL ACTIVO O BIEN</t>
  </si>
  <si>
    <t>UNIDAD DE MEDIDA</t>
  </si>
  <si>
    <t>COSTO UNITARIO SIN ITBIS</t>
  </si>
  <si>
    <t>COSTO UNITARIO  ITBIS INCLUIDO</t>
  </si>
  <si>
    <t>TOTAL GENERAL EN RD$</t>
  </si>
  <si>
    <t>Materiales Gastable/ materiales para Oficinas</t>
  </si>
  <si>
    <t>N/A</t>
  </si>
  <si>
    <t>UNIDAD</t>
  </si>
  <si>
    <t>ALMOHADILLAS PARA TINTA DE SELLOS</t>
  </si>
  <si>
    <t>ARCHIVO ACORDEON PLASTICO 10*13</t>
  </si>
  <si>
    <t>JUEGOS</t>
  </si>
  <si>
    <t>BORRA D/ LECHE</t>
  </si>
  <si>
    <t>BORRADOR PARA PIZARRA STARDARD</t>
  </si>
  <si>
    <t>CAJAS GENERICAS PARA ARCHIVO TIPO MALETIN  LARGO 15X3/16 DE ANCHO 4 1/2 DE ANCHO Y 25 DE LARGO</t>
  </si>
  <si>
    <t>CAJITAS DE TIZA</t>
  </si>
  <si>
    <t>CAJITA</t>
  </si>
  <si>
    <t>CALCULADORA DE 12 DIGITO PEQUEÑA</t>
  </si>
  <si>
    <t>CALCULADORA SUMADORA EL-1750V (PEQUEÑA)</t>
  </si>
  <si>
    <t>0000</t>
  </si>
  <si>
    <t>CALCULADORA SUMADORA SHARP 2630 PIII GRANDE</t>
  </si>
  <si>
    <t>CARPETA COLGANTE PENDAFLEX 8 1/2X14 (25/1) FORDEL CAJA</t>
  </si>
  <si>
    <t>CARPETAS 8 ½ X 11 DE 3 ARGOLLAS DE 1 PULGADAS</t>
  </si>
  <si>
    <t>CARPETAS 8 ½ X 11 DE 3 ARGOLLAS DE 2 PULGADAS</t>
  </si>
  <si>
    <t>CARPETAS 8 ½ X 11 DE 3 ARGOLLAS DE 3 PULGADAS</t>
  </si>
  <si>
    <t>CARPETAS 8 ½ X 11 DE 3 ARGOLLAS DE 5 PULGADAS</t>
  </si>
  <si>
    <t>CARTUCHO HP TINTA 711 AMARILLO</t>
  </si>
  <si>
    <t>CARTUCHO</t>
  </si>
  <si>
    <t>CARTUCHO HP TINTA 711 AZUL</t>
  </si>
  <si>
    <t>CARTUCHO HP TINTA 711 MAGENTA</t>
  </si>
  <si>
    <t>CARTUCHO HP TINTA 711 NEGRO</t>
  </si>
  <si>
    <t>CD EN BLANCO</t>
  </si>
  <si>
    <t>CHINCHETAS</t>
  </si>
  <si>
    <t>CAJITAS</t>
  </si>
  <si>
    <t>CINTA ADHESIVA  3/4</t>
  </si>
  <si>
    <t>CINTA DE EMPAQUE 2X90</t>
  </si>
  <si>
    <t>CINTA PARA SUMADORA (ROLLOS BLANCOS).</t>
  </si>
  <si>
    <t>CLIP BILLETERO DE 15 MM</t>
  </si>
  <si>
    <t>CLIP BILLETERO DE 19 MM</t>
  </si>
  <si>
    <t>CLIP BILLETERO DE 25 MM</t>
  </si>
  <si>
    <t>CLIP BILLETERO DE 32 MM</t>
  </si>
  <si>
    <t>CLIP BILLETERO DE 41 MM</t>
  </si>
  <si>
    <t>CLIP BILLETERO DE 51 MM</t>
  </si>
  <si>
    <t>CLIPS No. 1 (PEQ.)</t>
  </si>
  <si>
    <t>CLIPS No. 2 (JUMBO)</t>
  </si>
  <si>
    <t>CORRECTOR LIQUIDO</t>
  </si>
  <si>
    <t>COVER PLASTICO PARA ENCUADERNAR 8 1/2*11 COLORES</t>
  </si>
  <si>
    <t>PAQUETE</t>
  </si>
  <si>
    <t>DISPENSADOR DE CINTA 3/4 (PORTA CINTA)</t>
  </si>
  <si>
    <t>DVD EN BLANCO</t>
  </si>
  <si>
    <t>ESPIRAL  18MM</t>
  </si>
  <si>
    <t>ESPIRAL 10MM</t>
  </si>
  <si>
    <t xml:space="preserve">FELPAS AZULES </t>
  </si>
  <si>
    <t>FELPAS AZULES NUEVAS, EN USO</t>
  </si>
  <si>
    <t xml:space="preserve">FELPAS NEGRAS </t>
  </si>
  <si>
    <t>FOLDER 8½ X 11 ( UND )</t>
  </si>
  <si>
    <t>FOLDER 8½ X 13 ( UND )</t>
  </si>
  <si>
    <t>FOLDER 8½ X 14 ( UND )</t>
  </si>
  <si>
    <t>FOLDER PARTITIONS 8 1/2X11 AZUL CLARO</t>
  </si>
  <si>
    <t>FOLDERS C/B SATINADO BSN BLANCO</t>
  </si>
  <si>
    <t>FOLDERS COLOR AZUL CLARO 8 1/2*11</t>
  </si>
  <si>
    <t>FOLDERS COLOR MAMEY 8 1/2*11</t>
  </si>
  <si>
    <t>GANCHO PARA FOLDER (PARA ARCHIVO) 1/50 ACORD</t>
  </si>
  <si>
    <t>GOMITAS (BANDAS DE GOMA) 1/50 CAJITAS</t>
  </si>
  <si>
    <t>GRAPA 3/8 PARA 100  PAG.</t>
  </si>
  <si>
    <t>GRAPA STANDARD</t>
  </si>
  <si>
    <t>GRAPADORA OFIMAK  S444 (PEQUEÑA)</t>
  </si>
  <si>
    <t>GRAPADORA PARA 100 HOJAS</t>
  </si>
  <si>
    <t>LABELS BLANCOS ADHESIVOS PARA SOBRES E IMPRESORA 2X4</t>
  </si>
  <si>
    <t>LABELS PARA CD/DVD</t>
  </si>
  <si>
    <t>LABELS PARA FOLDERS</t>
  </si>
  <si>
    <t>LAMINA P/PLASTIFICAR 229MM X X292 MM ESPESOR</t>
  </si>
  <si>
    <t>LAPICERO ROJO</t>
  </si>
  <si>
    <t>LAPICEROS AZUL</t>
  </si>
  <si>
    <t>LAPICEROS INSTITUCIONALES INTRANT</t>
  </si>
  <si>
    <t>LAPIZ DE CARBON NO. 2</t>
  </si>
  <si>
    <t xml:space="preserve">LIBRETA RAYADA 5X8 </t>
  </si>
  <si>
    <t>LIBRETA RAYADA 8½ X 11</t>
  </si>
  <si>
    <t>LIBRO RECORD DE 300 PAGINAS</t>
  </si>
  <si>
    <t>LIBRO RECORD DE 500 PAGINAS</t>
  </si>
  <si>
    <t>MARCADOR PERMANENTE AZUL</t>
  </si>
  <si>
    <t> UNIDAD</t>
  </si>
  <si>
    <t>MARCADOR PERMANENTE NEGRO</t>
  </si>
  <si>
    <t>MARCADOR PERMANENTE ROJO</t>
  </si>
  <si>
    <t>MARCADORES PARA  PIZARRA NEGRO</t>
  </si>
  <si>
    <t>MARCADORES PARA  PIZARRA ROJO</t>
  </si>
  <si>
    <t>MARCADORES PARA  PIZARRA VERDE</t>
  </si>
  <si>
    <t>MARCADORES PARA PIZARRA AZUL</t>
  </si>
  <si>
    <t xml:space="preserve">MASKING TAPE 3/4X30 YARDAS </t>
  </si>
  <si>
    <t>PAPEL CARBON 8½ X 11 AZUL PAQUETES DE 100/1 UNIDADES</t>
  </si>
  <si>
    <t>PEGAMENTO EN BARRA 8 GRS (UHU)</t>
  </si>
  <si>
    <t>PERFORADORA DE 2 HOYOS PRINTEK</t>
  </si>
  <si>
    <t>PERFORADORA DE 3 HOYOS</t>
  </si>
  <si>
    <t>PILAS TRIPLE  AA</t>
  </si>
  <si>
    <t>PILAS TRIPLE  AAA</t>
  </si>
  <si>
    <t>PORTA CLIPS</t>
  </si>
  <si>
    <t>PORTA LAPIZ EN METAL</t>
  </si>
  <si>
    <t>POST-IT  3*3 AMARILLO (NOTAS ADHESIVAS)</t>
  </si>
  <si>
    <t>POST-IT  5*3 AMARILLO (NOTAS ADHESIVAS)</t>
  </si>
  <si>
    <t>REGLAS PLASTICA</t>
  </si>
  <si>
    <t>RESALTADOR AMARILLO</t>
  </si>
  <si>
    <t>RESALTADOR AZUL</t>
  </si>
  <si>
    <t>RESALTADOR NARANJA</t>
  </si>
  <si>
    <t>RESALTADOR ROSADO</t>
  </si>
  <si>
    <t>RESALTADOR VERDE</t>
  </si>
  <si>
    <t>RESMA DE PAPEL 11X17</t>
  </si>
  <si>
    <t>RESMA</t>
  </si>
  <si>
    <t xml:space="preserve">RESMA DE PAPEL 81/2x11 ( HOJA DE HILO)  </t>
  </si>
  <si>
    <t xml:space="preserve">UNIDAD </t>
  </si>
  <si>
    <t>ROLLO DE PAPEL PARA PLOTTER 24X150</t>
  </si>
  <si>
    <t>ROLLO DE PAPEL PARA SUMADORA (ROLLO BLANCO)</t>
  </si>
  <si>
    <t>SACA GRAPAS</t>
  </si>
  <si>
    <t>SACAPUNTA DE METAL</t>
  </si>
  <si>
    <t>SACAPUNTA ELECTRICO</t>
  </si>
  <si>
    <t>SEPARADORES DE HOJAS PLASTICA (PROTECTORA)</t>
  </si>
  <si>
    <t>SOBRE MANILA 10X13 AMARILLO  500/2</t>
  </si>
  <si>
    <t>SOBRE MANILA 10X13 BLANCO 500/1</t>
  </si>
  <si>
    <t>SOBRE MANILA 10X17 AMARILLO 500/1</t>
  </si>
  <si>
    <t>SOBRE MANILA 5X8 AMARILLO</t>
  </si>
  <si>
    <t>SOBRE MANILA 6X9 AMARILLO</t>
  </si>
  <si>
    <t>SOBRE MANILA 9X12 AMARILLO</t>
  </si>
  <si>
    <t>SOBRE MANILA 9X12 BLANCO</t>
  </si>
  <si>
    <t>SOBRE MANILA 9X12 BLANCO INSTITUCIONAL</t>
  </si>
  <si>
    <t>SOBRE PARA CARTA (BLANCO)</t>
  </si>
  <si>
    <t>SOBRE PARA CARTA (BLANCO) INSTITUCIONALES</t>
  </si>
  <si>
    <t>TABLILLA DE APOYO DE MADERA 81/2X11</t>
  </si>
  <si>
    <t>TABLILLA DE APOYO DE MADERA 9X13</t>
  </si>
  <si>
    <t xml:space="preserve">TAPE DOBLE CARA </t>
  </si>
  <si>
    <t>TIJERAS DE 5 PULG DE OFICINA</t>
  </si>
  <si>
    <t>TINTA GOTERO 664 EPSON AMARILLO</t>
  </si>
  <si>
    <t>FRASCO</t>
  </si>
  <si>
    <t>TINTA GOTERO 664 EPSON AZUL</t>
  </si>
  <si>
    <t>TINTA GOTERO 664 EPSON NEGRO</t>
  </si>
  <si>
    <t>TINTA GOTERO 664 EPSON ROSADO</t>
  </si>
  <si>
    <t>TINTA GOTERO SOLUTECH AZUL (PARA SELLOS)</t>
  </si>
  <si>
    <t>TINTA GOTERO SOLUTECH NEGRO  (PARA SELLOS)</t>
  </si>
  <si>
    <t>TINTA GOTERO SOLUTECH ROJO  (PARA SELLOS)</t>
  </si>
  <si>
    <t>TINTA GOTERO SOLUTECH VERDE  (PARA SELLOS)</t>
  </si>
  <si>
    <t>ZAFACON PARA OFICINA DE METAL 265X265</t>
  </si>
  <si>
    <t xml:space="preserve">Sub.Total </t>
  </si>
  <si>
    <t>Insumos</t>
  </si>
  <si>
    <t>AGUA 16 ONZA  20/1 (BOTELLITA)</t>
  </si>
  <si>
    <t>FARDOS</t>
  </si>
  <si>
    <t>AZUCAR BLANCA PAQ. DE 5 LIBRAS</t>
  </si>
  <si>
    <t>PAQUETES/5LIBRAS</t>
  </si>
  <si>
    <t>AZUCAR CREMA PAQ. DE 5 LIBRAS</t>
  </si>
  <si>
    <t>AZUCAR DE DIETA 100/1</t>
  </si>
  <si>
    <t>CAJAS DE 100 UNID.</t>
  </si>
  <si>
    <t>AZUCAR DE DIETA 1000/1</t>
  </si>
  <si>
    <t>CAJAS DE 1000 UNID.</t>
  </si>
  <si>
    <t xml:space="preserve">AZUCAR EN SOBRE CREMA  500/1 </t>
  </si>
  <si>
    <t>PAQUETES 500/1</t>
  </si>
  <si>
    <t>BOTELLONES AGUA PLANETA AZUL 5 GALONES</t>
  </si>
  <si>
    <t>GALONES</t>
  </si>
  <si>
    <t>PAQUETE DE CUCHARAS DESECHABLES 25/1</t>
  </si>
  <si>
    <t>PAQUETE DE TENEDORES DESECHABLES 25/1</t>
  </si>
  <si>
    <t>PAQUETE PLATOS DESECHABLES NO.6 (25/1)</t>
  </si>
  <si>
    <t>PAQUETE PLATOS DESECHABLES NO.9 (25/1)</t>
  </si>
  <si>
    <t>REMOVEDORES DE CAFÉ EN MADERA</t>
  </si>
  <si>
    <t xml:space="preserve">SERVILLETAS BLANCAS CUADRADAS </t>
  </si>
  <si>
    <t>SERVILLETAS paq. 500/1</t>
  </si>
  <si>
    <t xml:space="preserve">SOBRE DE CREMORA PAQUETE 50/1 </t>
  </si>
  <si>
    <t>TE DE JENGIBLE (CALIENTE) 20/2</t>
  </si>
  <si>
    <t xml:space="preserve">CAJITA </t>
  </si>
  <si>
    <t>TE LIPTO (TE FRIO)</t>
  </si>
  <si>
    <t>LATAS</t>
  </si>
  <si>
    <t>TE MANZANILLA  (CALIENTE) 20/1</t>
  </si>
  <si>
    <t>VASO PLASTICO PAQUETE Nc.10 50/1</t>
  </si>
  <si>
    <t xml:space="preserve">VASOS DESECHABLE DE CAFE Nc. 2 BIODEGRADABLE  (CARTON) 50/1 </t>
  </si>
  <si>
    <t xml:space="preserve">MAYORDOMIA/SERVICIOS GENERALES </t>
  </si>
  <si>
    <t>ALCOHOL AL 70% EN GALON</t>
  </si>
  <si>
    <t>ALFOMBRAS DE ENTRADA AZULES (PARA SANITIZAR)</t>
  </si>
  <si>
    <t>AMBIENTADOR P/ DISPENSADOR  6.2</t>
  </si>
  <si>
    <t>UND.</t>
  </si>
  <si>
    <t>AMBIENTADORES SPRAY</t>
  </si>
  <si>
    <t>BANDEJAS DE DESINFECCION ACERO INOXIDABLE CON ALFOMBRA (PARA SANITIZAR)</t>
  </si>
  <si>
    <t xml:space="preserve">BRILLO VERDE, DOBLE USO </t>
  </si>
  <si>
    <t xml:space="preserve">CEPILLO P/PARED </t>
  </si>
  <si>
    <t>GALON</t>
  </si>
  <si>
    <t>CONTENEDOR PLASTICO C/TAPA Y RUEDAS 32 GAL.</t>
  </si>
  <si>
    <t>DESCALIN PARA LIMPIAR CERAMICA</t>
  </si>
  <si>
    <t>GAL.</t>
  </si>
  <si>
    <t xml:space="preserve">DESINFECTANTE FAROLA </t>
  </si>
  <si>
    <t>DESINFECTANTE MISTOLIN</t>
  </si>
  <si>
    <t>DESINFECTANTE QUIMICO PARA ALFOMBRA</t>
  </si>
  <si>
    <t>DISPENSADORES DE MANITAS LIMPIAS/JABON LIQUIDO 400ML</t>
  </si>
  <si>
    <t>DISPENSADORES DE PAPEL TIPO DISCO</t>
  </si>
  <si>
    <t>DISPENSADORES DE PAPEL TIPO TOALLA</t>
  </si>
  <si>
    <t>ENVANSE PLASTICO PARA ALCOHOL DE 32 ONZAS</t>
  </si>
  <si>
    <t xml:space="preserve">ESCOBA TIPO ABANICO </t>
  </si>
  <si>
    <t>ESPUMA LIMPIADORA (ESPUMA LOCA)</t>
  </si>
  <si>
    <t>FUNDAS NEGRAS DE 55 GALONES TIPO TANQUE 100/1</t>
  </si>
  <si>
    <t>FUNDAS NEGRAS PLASTICA DE 30 GL.  100/1</t>
  </si>
  <si>
    <t>FUNDAS NO. 6 NEGRAS (FARDO 100/1)</t>
  </si>
  <si>
    <t>GEL ANTIBACTERIAL FRASCOS DE 2 ONZAS</t>
  </si>
  <si>
    <t>PARES</t>
  </si>
  <si>
    <t>GUANTES DOMESTICO (S, M, L, XL)</t>
  </si>
  <si>
    <t>HISOPOS DE BAÑOS CON BASE</t>
  </si>
  <si>
    <t>ILUSTRADOR DE MADERA (CAOBIN) 8 onz</t>
  </si>
  <si>
    <t>JABON LIQUIDO DE CUABA</t>
  </si>
  <si>
    <t>JABON LIQUIDO DE FREGAR</t>
  </si>
  <si>
    <t xml:space="preserve">JABON LIQUIDO DE LAVARSE LAS MANOS </t>
  </si>
  <si>
    <t>LANILLAS FALDOS</t>
  </si>
  <si>
    <t>FALDOS</t>
  </si>
  <si>
    <t xml:space="preserve">LIMPIA CRISTAL </t>
  </si>
  <si>
    <t>MANITAS LIMPIA</t>
  </si>
  <si>
    <t>CAJAS</t>
  </si>
  <si>
    <t>PALITAS RECOGEDORAS</t>
  </si>
  <si>
    <t>PAÑITO DE COCINA POR JUEGOA DE 3 PIEZAS</t>
  </si>
  <si>
    <t>PAÑITOS HUMEDOS (WIPES) 6/1</t>
  </si>
  <si>
    <t xml:space="preserve">CAJAS </t>
  </si>
  <si>
    <t>PAPEL HIGIENICO SCOTT DOBLE 24/1</t>
  </si>
  <si>
    <t xml:space="preserve">PAPEL JUMBO JUNIOR TIPO DISCO </t>
  </si>
  <si>
    <t>ROLLOS</t>
  </si>
  <si>
    <t xml:space="preserve">RECOJEDOR / CON SUJETADOR DE ESCOBA </t>
  </si>
  <si>
    <t>SACOS DE ACE</t>
  </si>
  <si>
    <t>SANITIZANTE EN SPRAY SCOTT 400 ML</t>
  </si>
  <si>
    <t>SEÑALIZACION PARA PISO</t>
  </si>
  <si>
    <t>SUAPER C/PALO NO.28</t>
  </si>
  <si>
    <t>SUAPER C/PALO NO.32</t>
  </si>
  <si>
    <t>TOALLA PARA LIMPIAR CRISTAL (GRANDES AMARILLOS)</t>
  </si>
  <si>
    <t>TOALLA PARA LIMPIAR CRISTAL (PEQUEÑOS)</t>
  </si>
  <si>
    <t>ZAFACONES CON TAPA P/BAÑOS BLANCO</t>
  </si>
  <si>
    <t>ZAFACONES PARA BAÑOS 60X90/BLANCO</t>
  </si>
  <si>
    <t>ZAFACONES PLASTICO DE PIES</t>
  </si>
  <si>
    <t>BANDEJAS REDONDAS PARA SERVIR LLANAS ACERO INOXIDABLE</t>
  </si>
  <si>
    <t>UNIDADES</t>
  </si>
  <si>
    <t>BANDEJAS REDONDAS PARA SERVIR ONDAS ACERO INOXIDABLE</t>
  </si>
  <si>
    <t>BANDERA INSTITUCIONAL  4X6 PARA EXTERIOR</t>
  </si>
  <si>
    <t>BANDERA INSTITUCIONAL DEL INTRANT</t>
  </si>
  <si>
    <t>BANDERAS DE LA REPUBLICA DOMINICANA EN TELA DE 48"X74", PARA EXTERIOR.       INTRANT</t>
  </si>
  <si>
    <t xml:space="preserve">CAFETERA CON TAPA GRANDE </t>
  </si>
  <si>
    <t xml:space="preserve">CAFETERA CON TAPA PEQUEÑA </t>
  </si>
  <si>
    <t>CAFETERA ELECTRICA ADCRAFT DE 35 TAZAS ACERO INOXIDABLE</t>
  </si>
  <si>
    <t>CAFETERA ELECTRICA BYD DE 12 TAZAS NEGRO</t>
  </si>
  <si>
    <t>CAFETERA ELECTRICA OSTER DE 35 TAZAS ACERO INOXIDABLE</t>
  </si>
  <si>
    <t>COPAS TIPO MERLOT CAJAS DE 12 UNIDADES</t>
  </si>
  <si>
    <t>CUBIERTOS METAL GRANDES</t>
  </si>
  <si>
    <t>CUCHARAS DE METAL GRANDES</t>
  </si>
  <si>
    <t>CUCHARAS DE METAL PARA CAFÉ (PEQ.)</t>
  </si>
  <si>
    <t>CUCHILLOS DE METAL GRANDES</t>
  </si>
  <si>
    <t>GRECA ELECTRICA CON BASE PARA CAFÉ MOKA DE 6 TAZAS</t>
  </si>
  <si>
    <t>JARRAS DE CRISTAL PARA AGUA</t>
  </si>
  <si>
    <t>JARRAS PLASTICAS PARA AGUA</t>
  </si>
  <si>
    <t>MASTIL DE INTERIOR EXTENSIBLE CON BASE ACERO INOXIDABLE  DE 5.8 A 20</t>
  </si>
  <si>
    <t>MICROONDAS OSTER DE 20 PULGADAS (NUEVOS)</t>
  </si>
  <si>
    <t>MICROONDAS OSTER DE 30 PULGADAS (NUEVOS)</t>
  </si>
  <si>
    <t>PAPEL TOALLA (ABSORBENTE PARA COCINA)</t>
  </si>
  <si>
    <t>PLATOS LLANOS EN PORCELANA DE 6 UNIDADES (LLANOS)</t>
  </si>
  <si>
    <t>PLATOS PICADERA EN PORCELANA DE 6 UNIDADES (PEQ.)</t>
  </si>
  <si>
    <t>ROLLOS DE VELCRON DE 3/4</t>
  </si>
  <si>
    <t xml:space="preserve">TAZAS DE CAFÉ DE 6 UNIDADES </t>
  </si>
  <si>
    <t xml:space="preserve">TAZAS DE TE DE 6 UNIDADES </t>
  </si>
  <si>
    <t>TERMOS DE CAFÉ PLASTICOS</t>
  </si>
  <si>
    <t xml:space="preserve">VASOS DE AGUA DE CRISTAL DE 12 UNIDADES </t>
  </si>
  <si>
    <t>Electrico</t>
  </si>
  <si>
    <t>ADAPTADOR ELECTRICO DE 1/2</t>
  </si>
  <si>
    <t xml:space="preserve">ALAMBRE CALIBRE NO.12    </t>
  </si>
  <si>
    <t>ROLLO</t>
  </si>
  <si>
    <t>ALAMBRE CALIBRE NO.12 DUPLEX    BLANCO</t>
  </si>
  <si>
    <t>ALAMBRE DE GOMA No. 10 DE 4 HILO (PIE)</t>
  </si>
  <si>
    <t>ALAMBRE ELECTRICO NO. 2  (PIE)</t>
  </si>
  <si>
    <t>PIE</t>
  </si>
  <si>
    <t>ALAMBRE ELECTRICO No. 3 (PIE)</t>
  </si>
  <si>
    <t>ALAMBRE ELECTRICO NO. 8 PIE)</t>
  </si>
  <si>
    <t>ALAMBRE ELECTRICO No.10 NEGRO (PIE)</t>
  </si>
  <si>
    <t xml:space="preserve">ALAMBRE No.12  NEGRO (PIE) </t>
  </si>
  <si>
    <t>ALAMBRE No.12 BLANCO (PIE)</t>
  </si>
  <si>
    <t>ALAMBRE No.14 (PIE)</t>
  </si>
  <si>
    <t>ALAMBRE PARA SOLDAR No. 2 (PIE)</t>
  </si>
  <si>
    <t>AMPERIMETRO FLUKE GARANTIA DE FABRICA</t>
  </si>
  <si>
    <t xml:space="preserve">BASE DE FOTOCELDAS </t>
  </si>
  <si>
    <t>BASE DE TELEVISION DE HASTA 65" CON BRACKET ARTICULADO (SE MUEVEN)</t>
  </si>
  <si>
    <t xml:space="preserve">BOMBILLA 65 WATTS FLUORESCENTE BAJO CONSUMO </t>
  </si>
  <si>
    <t>BOMBILLA DE BAJO CONSUMO DE 25/30 WATTS</t>
  </si>
  <si>
    <t xml:space="preserve">BOMBILLO DE 20 WATTS </t>
  </si>
  <si>
    <t>BRAKE R DE 15 AMP</t>
  </si>
  <si>
    <t>BRAKER DE 20 AMP</t>
  </si>
  <si>
    <t>BRAKER DE 30 AMP</t>
  </si>
  <si>
    <t>BRAKER DE 40 AMP</t>
  </si>
  <si>
    <t>BRAKER DE 60 AMP</t>
  </si>
  <si>
    <t>BRAKER DE 70 AMP</t>
  </si>
  <si>
    <t>BRAKERS MAIN TRIFASICO 400AMP</t>
  </si>
  <si>
    <t>BREAKER DE 50 AMP</t>
  </si>
  <si>
    <t>CABLE DE TELEFONO EXPIRAL</t>
  </si>
  <si>
    <t>CABLE DE TELEFONO PIES</t>
  </si>
  <si>
    <t xml:space="preserve">CAJA 2X4 MT CON NOCAUTS DE 1/2 </t>
  </si>
  <si>
    <t xml:space="preserve">CAJA DE BRAKER DE 12 A 24 ESPACIO </t>
  </si>
  <si>
    <t xml:space="preserve">CAJA DE BRAKER DE 2 ESPACIO </t>
  </si>
  <si>
    <t xml:space="preserve">CAJA DE BRAKER DE 4 ESPACIO </t>
  </si>
  <si>
    <t>CAJA DE ELECTRODOS 3/32 10LBS</t>
  </si>
  <si>
    <t xml:space="preserve">CAJA PLASTICAS PARA TOMA CORRIENTE </t>
  </si>
  <si>
    <t>CAJITA TOMACORRIENTE 2X4 METAL</t>
  </si>
  <si>
    <t xml:space="preserve">CANALETAS DE 1 CON ADHESIVO </t>
  </si>
  <si>
    <t xml:space="preserve">CANALETAS DE 1/2 CON ADHESIVO </t>
  </si>
  <si>
    <t xml:space="preserve">CANALETAS DE 2X2 CON ADHESIVO </t>
  </si>
  <si>
    <t xml:space="preserve">CANALETAS DE 3/4 CON ADHESIVO </t>
  </si>
  <si>
    <t xml:space="preserve">CONECTOR DE MEDIA LUNA DE 1/2 </t>
  </si>
  <si>
    <t>CONECTOR DE MEDIA LUNA DE 3/4</t>
  </si>
  <si>
    <t>CONECTOR ELECTRICO 1/4</t>
  </si>
  <si>
    <t>CONECTOR ELECTRICO DE 1/2</t>
  </si>
  <si>
    <t>CONECTOR ELECTRICO DE 3/4</t>
  </si>
  <si>
    <t>CONECTOR ELECTRICO TIPO SILLA</t>
  </si>
  <si>
    <t>CONECTOR EMPLAME PARA ALAMBRE No.10</t>
  </si>
  <si>
    <t>CONECTOR EMPLAME PARA ALAMBRE No.8</t>
  </si>
  <si>
    <t>CONECTORE DE EMPALMES PARA CABLE 1-0</t>
  </si>
  <si>
    <t>CONTACTOR 24V 30 AMPERES 2019</t>
  </si>
  <si>
    <t>CONTACTOR 24V 40 AMPERES 2020</t>
  </si>
  <si>
    <t>DISFUSORES PVC PARA LAMPARAS 4X2</t>
  </si>
  <si>
    <t>EXTENSION ELECTRICA 25 PIES</t>
  </si>
  <si>
    <t xml:space="preserve">FOTOCELDA </t>
  </si>
  <si>
    <t>FOTOCELDAS</t>
  </si>
  <si>
    <t>GUANTES PARA ELECTRICISTA  (AZULES)</t>
  </si>
  <si>
    <t xml:space="preserve">INTERRUCTOR TRIPLE COMPLETO </t>
  </si>
  <si>
    <t>INTERRUPTORES DE 1</t>
  </si>
  <si>
    <t>INTERRUPTORES DE 2</t>
  </si>
  <si>
    <t>INTERRUPTORES DE 3</t>
  </si>
  <si>
    <t>LAMPARA LED 56X24 IP65</t>
  </si>
  <si>
    <t>LAMPARA LED 66X22</t>
  </si>
  <si>
    <t xml:space="preserve">LAMPARA PARA PLAFON LED 124X20 </t>
  </si>
  <si>
    <t>LAMPARA PARA PLAFON NORMAL 74X62</t>
  </si>
  <si>
    <t>LAMPARA TIPO COBRA DE 2 OJOS LED 74X24</t>
  </si>
  <si>
    <t>LAMPARA TIPÒ GLOBO</t>
  </si>
  <si>
    <t xml:space="preserve">LUZ LED CIRCULAR 3 DIAMETRO, 6500K EMPOTRADO </t>
  </si>
  <si>
    <t xml:space="preserve">LUZ LED CIRCULAR 6 DIAMETRO, 6500K EMPOTRADO </t>
  </si>
  <si>
    <t xml:space="preserve">LUZ LED CUADRADA </t>
  </si>
  <si>
    <t>MULTIMETRO</t>
  </si>
  <si>
    <t>PINZA DE CORTE TUBO PVC</t>
  </si>
  <si>
    <t xml:space="preserve">PINZA DE PELAR CABLE </t>
  </si>
  <si>
    <t xml:space="preserve">PINZA DE PUNTA </t>
  </si>
  <si>
    <t>REGLETA INDUSTRIAL PARA TOMA CORRIENTE  DE 6 SALIDAS</t>
  </si>
  <si>
    <t>REPUESTO CUCHILLA ELECT. CUT 6X6 C/5 TRUPER</t>
  </si>
  <si>
    <t xml:space="preserve">ROLLO DE TAPE DE GOMA </t>
  </si>
  <si>
    <t>ROLLO TAPE 3M SUPER 33 VINIL NEGRO</t>
  </si>
  <si>
    <t>ROLLO TAPE CIEGA</t>
  </si>
  <si>
    <t>ROLLO TAPE CIEGA 220V</t>
  </si>
  <si>
    <t>ROLLO TAPE VINIL SUPER 33 3/4X66</t>
  </si>
  <si>
    <t xml:space="preserve">TESTER 1601 KYORITSU </t>
  </si>
  <si>
    <t>TAPAS PARA TOMACORRIENTE</t>
  </si>
  <si>
    <t xml:space="preserve">TOMA CORRIENTE TAPA ROJA COMPLETO </t>
  </si>
  <si>
    <t>TOMACORRIENTE 220V</t>
  </si>
  <si>
    <t>TOMACORRIENTE LEVINTON A V C/TAPA</t>
  </si>
  <si>
    <t xml:space="preserve">TUBO FLUORECENTES DE 32 WAST </t>
  </si>
  <si>
    <t>TUBO FLUORECENTES DE 40 WAST</t>
  </si>
  <si>
    <t xml:space="preserve">TUBO FLUORECENTES DE 72 WAST </t>
  </si>
  <si>
    <t>TUBO LED 18 WATT</t>
  </si>
  <si>
    <t xml:space="preserve">TUBOS FLUORECENTES DE 18 WATTS </t>
  </si>
  <si>
    <t xml:space="preserve">TUBOS FLUORECENTES DE 59 WATTS </t>
  </si>
  <si>
    <t>VOLTIMETRO</t>
  </si>
  <si>
    <t>Plomeria</t>
  </si>
  <si>
    <t>ABRAZADERA DE  METAL 1/2</t>
  </si>
  <si>
    <t>ABRAZADERA UNITRO</t>
  </si>
  <si>
    <t>ADAPTADOR HEMBRA DE 1 1/2 PVC</t>
  </si>
  <si>
    <t xml:space="preserve">ADAPTADOR HEMBRA DE 1 PVC </t>
  </si>
  <si>
    <t>ADAPTADOR HEMBRA DE 1/2 PVC</t>
  </si>
  <si>
    <t xml:space="preserve">ADAPTADOR HEMBRA DE 3/4 PVC </t>
  </si>
  <si>
    <t>ADAPTADOR HEMBRA DE 4 PVC</t>
  </si>
  <si>
    <t>ADAPTADOR MACHO 3/4</t>
  </si>
  <si>
    <t xml:space="preserve">ADAPTADOR MACHO DE 1 1/2 PVC </t>
  </si>
  <si>
    <t>ADAPTADOR MACHO DE 1 PVC</t>
  </si>
  <si>
    <t xml:space="preserve">ADAPTADOR MACHO DE 1 PVC </t>
  </si>
  <si>
    <t xml:space="preserve">ADAPTADOR MACHO DE 1/2 PVC </t>
  </si>
  <si>
    <t xml:space="preserve">ADAPTADOR MACHO DE 2 PVC </t>
  </si>
  <si>
    <t>ADAPTADOR MACHO DE 3/4 PVC</t>
  </si>
  <si>
    <t xml:space="preserve">ADAPTADOR MACHO DE 4 PVC </t>
  </si>
  <si>
    <t>ARANDELA DE 3 PVC</t>
  </si>
  <si>
    <t>ARANDELA DE 4 PVC</t>
  </si>
  <si>
    <t xml:space="preserve">BALANCIN DE CALAMINA PARA INODOROS </t>
  </si>
  <si>
    <t>BOLAS PARA FLOTA MEDIANAS</t>
  </si>
  <si>
    <t>BOQUILLAS DE FREGADERO 4 1/2</t>
  </si>
  <si>
    <t>BOQUILLAS DE LAVAMANOS</t>
  </si>
  <si>
    <t>BOQUILLAS DE LAVAMANOS CON AUTOMATICO BETOR</t>
  </si>
  <si>
    <t>CEMENTO PVC 16 ONZ</t>
  </si>
  <si>
    <t>FUNDA</t>
  </si>
  <si>
    <t>CERA DE SOLDADURA</t>
  </si>
  <si>
    <t>CHEQUE DE 1/2 VERTICAL</t>
  </si>
  <si>
    <t>CHEQUE DE 2 VERTICAL ITALY METAL</t>
  </si>
  <si>
    <t xml:space="preserve">CHEQUE DE 3/4 HORIZONTAL </t>
  </si>
  <si>
    <t>CHEQUE DE 3/4 VERTICAL</t>
  </si>
  <si>
    <t>CHEQUE HORIZONTAL TIPO ITALY DE 1</t>
  </si>
  <si>
    <t>CHEQUE HORIZONTAL TIPO ITALY DE 2</t>
  </si>
  <si>
    <t>CINTA PARA DESTAPAR TUBERIA 1/2X50PIES</t>
  </si>
  <si>
    <t>CODO DE 2</t>
  </si>
  <si>
    <t>CODO PVC DE 4</t>
  </si>
  <si>
    <t>CODO PVC PRESION DE 1X90</t>
  </si>
  <si>
    <t xml:space="preserve">CODOS 1 1/2 PVC </t>
  </si>
  <si>
    <t xml:space="preserve">CODOS DE 1 PVC </t>
  </si>
  <si>
    <t xml:space="preserve">CODOS DE 1/2 PVC </t>
  </si>
  <si>
    <t xml:space="preserve">CODOS DE 2X45 PVC </t>
  </si>
  <si>
    <t xml:space="preserve">CODOS DE 2X90 PVC </t>
  </si>
  <si>
    <t>CODOS DE 3 PVC</t>
  </si>
  <si>
    <t>CODOS DE 3/4 PVC</t>
  </si>
  <si>
    <t xml:space="preserve">CODOS DE 4 PVC </t>
  </si>
  <si>
    <t>COOPLING DE 1 PVC</t>
  </si>
  <si>
    <t xml:space="preserve">COOPLING DE 1/2 PVC </t>
  </si>
  <si>
    <t>COOPLING DE 2 PVC</t>
  </si>
  <si>
    <t xml:space="preserve">COOPLING DE 3 PVC </t>
  </si>
  <si>
    <t>COOPLING DE 3/4 PVC</t>
  </si>
  <si>
    <t>COOPLING DE 4 PVC</t>
  </si>
  <si>
    <t>CORTAS TUBOS</t>
  </si>
  <si>
    <t>CURVA PVC 45 DE 4 PULGADAS</t>
  </si>
  <si>
    <t>CURVA PVC DE 2</t>
  </si>
  <si>
    <t>CURVA PVC DE 3</t>
  </si>
  <si>
    <t>INODOROS COMPLETOS</t>
  </si>
  <si>
    <t>JUNTA DE CERA DE INODORO</t>
  </si>
  <si>
    <t>JUNTA DE INODOROS FASET 60 +14 WAN</t>
  </si>
  <si>
    <t>JUNTA DRESSEN DE 1 PULGADA (UNIONES UNIVERSALES)</t>
  </si>
  <si>
    <t>JUNTA DRESSEN DE 2 PULGADAS (UNIONES UNIVERSALES)</t>
  </si>
  <si>
    <t>KIT DE INODORO COMPLETO</t>
  </si>
  <si>
    <t xml:space="preserve">LAVAMANOS RECTANGULAR DE UN HOYO </t>
  </si>
  <si>
    <t xml:space="preserve">LLAVE ANGULARES DE 1/2 X 3/8 </t>
  </si>
  <si>
    <t>LLAVE DE CHORRO DE 1/2</t>
  </si>
  <si>
    <t>LLAVE DE CHORRO DE 3/4</t>
  </si>
  <si>
    <t>LLAVE DE PASO BOLA MT 1</t>
  </si>
  <si>
    <t>LLAVE DE PASO BOLA MT 1/2</t>
  </si>
  <si>
    <t>LLAVE DE PASO BOLA MT 3/4</t>
  </si>
  <si>
    <t>LLAVE DE PASO BOLA PVC DE 1</t>
  </si>
  <si>
    <t>LLAVE DE PASO DE 3/4 PVC</t>
  </si>
  <si>
    <t>MANGUERAS DE LAVAMANOS</t>
  </si>
  <si>
    <t xml:space="preserve">MANGUERAS PARA INODOROS </t>
  </si>
  <si>
    <t>MANOMETRO PARA TANQUE PRESURISADO</t>
  </si>
  <si>
    <t xml:space="preserve">MEZCLADORA DE LAVAMANOS  2 HOYO OCEAN </t>
  </si>
  <si>
    <t>MEZCLADORA DE LAVAMANOS DE UN HOYO</t>
  </si>
  <si>
    <t>MEZCLADORA PARA FREGADERO DE 2 OLLOS</t>
  </si>
  <si>
    <t xml:space="preserve">NIPLE DE 1/2 X3 CROMADOS </t>
  </si>
  <si>
    <t xml:space="preserve">NIPLE DE 3/8 X3 CROMADOS </t>
  </si>
  <si>
    <t xml:space="preserve">PERITAS DE INODOROS </t>
  </si>
  <si>
    <t xml:space="preserve">REDUCCION DE 2 X 3/4 PVC </t>
  </si>
  <si>
    <t xml:space="preserve">REDUCCION DE 3/4 X 1/2 PVC </t>
  </si>
  <si>
    <t>REDUCTORES BUSHING DE 3/4 X 1/2 PVC</t>
  </si>
  <si>
    <t>REJILLA DE PISO PARA DESAGUE DE 1 1/2</t>
  </si>
  <si>
    <t>ROLLOS DE TEFLON 3/4</t>
  </si>
  <si>
    <t>SEPARADORES DE PARED PARA CRISTAL ACERO INOXIDABLE</t>
  </si>
  <si>
    <t>SIFON DE DRENAJE 2X2</t>
  </si>
  <si>
    <t>SILICON ACRILICO</t>
  </si>
  <si>
    <t xml:space="preserve">SWITCH DE PRESION PARA BOMBAS DE AGUA </t>
  </si>
  <si>
    <t>TAPAS DE INODOROS  REDONDAS COLOR BLANCO</t>
  </si>
  <si>
    <t xml:space="preserve">TAPON CIEGO DE 1/2 PVC </t>
  </si>
  <si>
    <t xml:space="preserve">TAPON CIEGO DE 3/4 PVC </t>
  </si>
  <si>
    <t xml:space="preserve">TEE DE 1 PVC </t>
  </si>
  <si>
    <t>TEE DE 1/2 PVC</t>
  </si>
  <si>
    <t xml:space="preserve">TEE DE 3/4 PVC </t>
  </si>
  <si>
    <t>TORNILLO PARA BACINETA DE METAL (JUEGO)</t>
  </si>
  <si>
    <t>TORNILLO PARA TANQUE DE INODORO (JUEGO)</t>
  </si>
  <si>
    <t>TUBOS  DE 3 PVC</t>
  </si>
  <si>
    <t xml:space="preserve">TUBOS DE 1 1/2  SCH 40 PVC </t>
  </si>
  <si>
    <t xml:space="preserve">TUBOS DE 1 SCH 40 PVC </t>
  </si>
  <si>
    <t xml:space="preserve">TUBOS DE 1/2 SDR 41 PVC </t>
  </si>
  <si>
    <t xml:space="preserve">TUBOS DE 2 SDR 41 PVC </t>
  </si>
  <si>
    <t>TUBOS DE 3/4 SDR 41 PVC</t>
  </si>
  <si>
    <t>UNION UNIVERSAL DE 2 PPR VERDE</t>
  </si>
  <si>
    <t xml:space="preserve">URINAL </t>
  </si>
  <si>
    <t>VALVULA DE INODOROS FLUXOMETRO</t>
  </si>
  <si>
    <t xml:space="preserve">YEE DE 2X2 PVC </t>
  </si>
  <si>
    <t xml:space="preserve">YEE DE 3X2 PVC </t>
  </si>
  <si>
    <t xml:space="preserve">YEE DE 4X4 PVC </t>
  </si>
  <si>
    <t xml:space="preserve">YEE DE1 1/2X2 PVC </t>
  </si>
  <si>
    <t>Aire Acondicinado</t>
  </si>
  <si>
    <t>ANTORCHA DOBLE QUEMADOR PARA MAPP-GAS</t>
  </si>
  <si>
    <t>ANTORCHA PARA MAPP-GAS (SOLO LA VALVULA)</t>
  </si>
  <si>
    <t>ANTORCHA SENCILLA PARA MAPP-GAS</t>
  </si>
  <si>
    <t>BASE PARA AIRE</t>
  </si>
  <si>
    <t>CAPACITORES DE 25</t>
  </si>
  <si>
    <t>CAPACITORES MFD  DE 30</t>
  </si>
  <si>
    <t>CAPACITORES MFD  DE 35</t>
  </si>
  <si>
    <t>CAPACITORES MFD  DE 40</t>
  </si>
  <si>
    <t>CAPACITORES MFD  DE 45</t>
  </si>
  <si>
    <t>CAPACITORES MFD  DE 50</t>
  </si>
  <si>
    <t>CAPACITORES MFD  DE 60</t>
  </si>
  <si>
    <t>CAPACITORES MFD DE 55</t>
  </si>
  <si>
    <t>DIFUSORES 4X2 TIPO REJILLA</t>
  </si>
  <si>
    <t>FILTRO DE SECADO PARA AIRES EN BRONCE</t>
  </si>
  <si>
    <t>MAPP-GAS PARA SOLDAR DE 16 ONZAS</t>
  </si>
  <si>
    <t>POWER PACK GRANDES  P/ COMP.  AIRE</t>
  </si>
  <si>
    <t>POWER PACK PEQUEÑOS  P/ COMP. AIRE</t>
  </si>
  <si>
    <t>ROLLO DE TUBERIA 1/2 PARA AIRE</t>
  </si>
  <si>
    <t xml:space="preserve">ROLLO </t>
  </si>
  <si>
    <t>ROLLO DE TUBERIA 1/4 PARA AIRE</t>
  </si>
  <si>
    <t xml:space="preserve">ROLLO DE TUBERIA 3/4 PARA AIRE </t>
  </si>
  <si>
    <t>ROLLO DE TUBERIA 3/8 PARA AIRE</t>
  </si>
  <si>
    <t xml:space="preserve">ROLLO DE TUBERIA 5/8 PARA AIRE </t>
  </si>
  <si>
    <t>TANQUES</t>
  </si>
  <si>
    <t xml:space="preserve">TARJETA UNIVERSAL PARA AIRES ACONDICIONADOS </t>
  </si>
  <si>
    <t>TERMOSTATO AMB HOMY WELL DE AIRE</t>
  </si>
  <si>
    <t>TIJERAS PARA LATAS DE GAS 410</t>
  </si>
  <si>
    <t>VACUCEL DE 5/8</t>
  </si>
  <si>
    <t xml:space="preserve">VARILLA DE PLATA </t>
  </si>
  <si>
    <t>Mantenimientos de Vehiculos</t>
  </si>
  <si>
    <t>ACEITE PENETRANTE 11OZ WD-40</t>
  </si>
  <si>
    <t>Pintura/ Servicios Generales</t>
  </si>
  <si>
    <t xml:space="preserve">BANDEJA DE PINTURA PLASTICA </t>
  </si>
  <si>
    <t>CINTA ANTIDESLIZANTE 3M 2X60</t>
  </si>
  <si>
    <t>CLAVOS F-25 DE 3/4 PULGADA</t>
  </si>
  <si>
    <t>ESTOPA POR LIBRA</t>
  </si>
  <si>
    <t xml:space="preserve">EXTENCION PARA PINTAR </t>
  </si>
  <si>
    <t xml:space="preserve">GALON AGUARRAS TROPICAL </t>
  </si>
  <si>
    <t xml:space="preserve">GALON DE COLA DE CARPINTERIA </t>
  </si>
  <si>
    <t>GALON DE FERRER</t>
  </si>
  <si>
    <t>GALON DE LACA  SEMI MATE</t>
  </si>
  <si>
    <t>GALON DE LACA CON BRILLO</t>
  </si>
  <si>
    <t>GALON DE LACA PIGMENTADA BLANCA</t>
  </si>
  <si>
    <t xml:space="preserve">GALON DE RELLENO GRIS </t>
  </si>
  <si>
    <t xml:space="preserve">GALON DE RETARDADOR </t>
  </si>
  <si>
    <t>GALON DE SEALLER</t>
  </si>
  <si>
    <t xml:space="preserve">GALON </t>
  </si>
  <si>
    <t>LIJA DE AGUA No. 150</t>
  </si>
  <si>
    <t>LIJA DE AGUA No. 1500 AMARILLA</t>
  </si>
  <si>
    <t>LIJA DE AGUA No. 180</t>
  </si>
  <si>
    <t>LIJA DE AGUA No. 220</t>
  </si>
  <si>
    <t xml:space="preserve">LIJA DE AGUA No. 240  </t>
  </si>
  <si>
    <t>LIJA DE AGUA No. 320</t>
  </si>
  <si>
    <t>LIJA DE AGUA No. 360</t>
  </si>
  <si>
    <t>LIJA DE AGUA No. 500</t>
  </si>
  <si>
    <t>LIJA DE AGUA No. 600</t>
  </si>
  <si>
    <t>LIJA DE ESMERIL No. 40</t>
  </si>
  <si>
    <t>LIJA DE ESMERIL No. 80</t>
  </si>
  <si>
    <t>LIJA DE ESMERIL No.120</t>
  </si>
  <si>
    <t>LIJA DE ESMERIL No.60</t>
  </si>
  <si>
    <t>LONA PLASTICA 8X10</t>
  </si>
  <si>
    <t>MASKING TAPE AZUL (ROLLOS)</t>
  </si>
  <si>
    <t>MASKING TAPE VERDE (ROLLOS)</t>
  </si>
  <si>
    <t xml:space="preserve">MOTA ANTI GOTA </t>
  </si>
  <si>
    <t>OLEO No. 2</t>
  </si>
  <si>
    <t>OLEO No. 24 NEGRO</t>
  </si>
  <si>
    <t xml:space="preserve">OLEO No. 3  </t>
  </si>
  <si>
    <t>PINTURA ACRILICA  BLANCO 00 GALON</t>
  </si>
  <si>
    <t>PINTURA ACRILICA PORCELANA 90 GALON</t>
  </si>
  <si>
    <t>PINTURA AMARILLO TRAFICO ESMALTE</t>
  </si>
  <si>
    <t>PINTURA INDUSTRIAL BLANCO OO</t>
  </si>
  <si>
    <t>PINTURA INSTITUCIONAL AZUL 7707C EXTERIOR</t>
  </si>
  <si>
    <t>PINTURA INSTITUCIONAL NARANJA  165C EXTERIOR</t>
  </si>
  <si>
    <t>PISTOLA DE SILICON</t>
  </si>
  <si>
    <t>PORTA ROLO DE METAL PEQUEÑO</t>
  </si>
  <si>
    <t>RESBALADORES</t>
  </si>
  <si>
    <t>THINNERS TH 1000</t>
  </si>
  <si>
    <t>Herramientas</t>
  </si>
  <si>
    <t>ALICATE DE EXTENCION</t>
  </si>
  <si>
    <t>ARANDELAS DE 1/2</t>
  </si>
  <si>
    <t>ARANDELAS DE 3/8</t>
  </si>
  <si>
    <t>BARRA DE EXCAVACION</t>
  </si>
  <si>
    <t>BISAGRA TIPO LIBRO DE 3 1/2 X 3/ 1/2 (PARES)</t>
  </si>
  <si>
    <t>BISAGRAS SENCILLAS</t>
  </si>
  <si>
    <t xml:space="preserve">BRAZOS HIDRAULICOS PARA PUERTAS </t>
  </si>
  <si>
    <t xml:space="preserve">BROCHA DE 1 1/2 </t>
  </si>
  <si>
    <t xml:space="preserve">BROCHA DE 2 </t>
  </si>
  <si>
    <t>BROCHA DE 3</t>
  </si>
  <si>
    <t xml:space="preserve">BROCHA DE 4 </t>
  </si>
  <si>
    <t>BULTO DE HERRAMIENTAS 18 Truper</t>
  </si>
  <si>
    <t>CANDADOS DE 2</t>
  </si>
  <si>
    <t xml:space="preserve">CLAVO DE ZINC </t>
  </si>
  <si>
    <t>CLAVO DULCE DE 2 PULGADA</t>
  </si>
  <si>
    <t>CLAVO DULCE DE 3 PULGADA</t>
  </si>
  <si>
    <t>CLAVOS DE ACERO DE 1,1 1/2 FINO</t>
  </si>
  <si>
    <t xml:space="preserve">CLAVOS DE ACERO DE 3 NORMALES </t>
  </si>
  <si>
    <t xml:space="preserve">CLAVOS DE DULCE DE 2 </t>
  </si>
  <si>
    <t xml:space="preserve">CRISTALES NEGROS NO.12 PARA CARETA DE SOLDAR </t>
  </si>
  <si>
    <t xml:space="preserve">CUBETA DE MASILLA PARA SHEETROCK </t>
  </si>
  <si>
    <t>DISCO DE CORTE 7 PULGADAS</t>
  </si>
  <si>
    <t>DISCO DE CORTE 9.5  PULGADAS</t>
  </si>
  <si>
    <t>DISCO DE PULIR NO.80</t>
  </si>
  <si>
    <t>ESPATULA DE 2</t>
  </si>
  <si>
    <t>ESPATULA DE 3</t>
  </si>
  <si>
    <t>ESPATULAS PLASTICAS VERDE</t>
  </si>
  <si>
    <t>GAFAS DE SEGURIDAD TRANSPARENTE</t>
  </si>
  <si>
    <t>GAFAS PROTECTORAS PARA SOLDAR</t>
  </si>
  <si>
    <t>JUEGO DE DETORNILLADORES PLANO ELECTRICO DE 600V</t>
  </si>
  <si>
    <t xml:space="preserve">JUEGO DE FORMON </t>
  </si>
  <si>
    <t>LIMA DE TRES CARAS BELLOTA</t>
  </si>
  <si>
    <t>LLAVINES PARA  PUERTA CON PUÑO</t>
  </si>
  <si>
    <t>LLAVINES TIPO CERROJO PARA PUERTA DE MADERA</t>
  </si>
  <si>
    <t xml:space="preserve">MANGUERA (PARA JARDIN SIN CONECTORES) DE 100 PIES </t>
  </si>
  <si>
    <t>MASCARILLAS PROTECCION (PARTICULAS /HUMO)</t>
  </si>
  <si>
    <t>MAZETA DE 2 LIBRA 16 OZ DE GOMA</t>
  </si>
  <si>
    <t>MAZETA DE 2 LIBRA DE HIERRO</t>
  </si>
  <si>
    <t>MAZETA DE 3 LIBRAS DE HIERRO</t>
  </si>
  <si>
    <t>MECHA PLANA DE 3/8</t>
  </si>
  <si>
    <t>MECHAS MECANICAS DE 1/2</t>
  </si>
  <si>
    <t>MECHAS MECANICAS DE 1/4</t>
  </si>
  <si>
    <t>MECHAS MECANICAS DE 3/8</t>
  </si>
  <si>
    <t>NUMEROS PARA IDENTIFICACION</t>
  </si>
  <si>
    <t>ODOMETRO (RUEDA METRICA 10 KM)</t>
  </si>
  <si>
    <t xml:space="preserve">PATA DE CHIVO PARA PUERTAS </t>
  </si>
  <si>
    <t xml:space="preserve">PESTILLO DE 3 </t>
  </si>
  <si>
    <t xml:space="preserve">PESTILLO DE 5/8 </t>
  </si>
  <si>
    <t>PESTILLO PARA CANDADO</t>
  </si>
  <si>
    <t>RASTRILLOS DE 28 GANCHOS PLASTICOS</t>
  </si>
  <si>
    <t>REMACHE ALUMINIO AA 1/8X3/8 CH</t>
  </si>
  <si>
    <t>REMACHE ALUMINIO AA 5/32X3/8 CH</t>
  </si>
  <si>
    <t>ROCETAS</t>
  </si>
  <si>
    <t>ROCETAS DE LUJO</t>
  </si>
  <si>
    <t>SEGUETA BIMETAL</t>
  </si>
  <si>
    <t>TAIRRAP No. 14 PLASTICO</t>
  </si>
  <si>
    <t>TALADRO ROTOMARTILLO BOSCH</t>
  </si>
  <si>
    <t xml:space="preserve">TARUGO DE PLOMO DE 1/2 CON SU TORNILLO </t>
  </si>
  <si>
    <t>TARUGO PARA SHEETROCK</t>
  </si>
  <si>
    <t>TARUGOS AZUL</t>
  </si>
  <si>
    <t>TARUGOS DE METAL  DE ½</t>
  </si>
  <si>
    <t xml:space="preserve">TARUGOS MAMEY </t>
  </si>
  <si>
    <t>TARUGOS VERDE</t>
  </si>
  <si>
    <t xml:space="preserve">TIRADOR DE GABETEROS </t>
  </si>
  <si>
    <t xml:space="preserve">TORNILLO DE METAL DE 1/2 CON TUERCAS </t>
  </si>
  <si>
    <t xml:space="preserve">TORNILLOS 5/16X1 1/4 CON TUERCA Y ARANDELA </t>
  </si>
  <si>
    <t xml:space="preserve">TORNILLOS 5/8X2 1/2 CON TUERCA Y ARANDELA </t>
  </si>
  <si>
    <t>TORNILLOS DIABLITOS 1 1/2X8</t>
  </si>
  <si>
    <t>TORNILLOS DIABLITOS 1X8</t>
  </si>
  <si>
    <t>TORNILLOS DIABLITOS 2 1/2X10</t>
  </si>
  <si>
    <t>TORNILLOS DIABLITOS 2X10</t>
  </si>
  <si>
    <t>TORNILLOS DIABLITOS 2X8</t>
  </si>
  <si>
    <t>TORNILLOS DIABLITOS 3X10</t>
  </si>
  <si>
    <t>TORNILLOS DIABLITOS 3X14</t>
  </si>
  <si>
    <t>TRAJES IMPERMEABLES AMARILLOS</t>
  </si>
  <si>
    <t xml:space="preserve">Mantenimiento </t>
  </si>
  <si>
    <t>CINTA PARA SHETROCK</t>
  </si>
  <si>
    <t>PLANCHA DE PLAFON MINERAL DE 2X2</t>
  </si>
  <si>
    <t>PLANCHAS DE PLYWOOD 1/2</t>
  </si>
  <si>
    <t>PLANCHAS DE PLYWOOD 3/4</t>
  </si>
  <si>
    <t>PLANCHAS DE SHEETROCK DE 4X8 DE 1/2</t>
  </si>
  <si>
    <t>TABLAS 11/2 X10 PINO TRATADO</t>
  </si>
  <si>
    <t>TABLAS 11/2X10X10 BRUTA TRATADA</t>
  </si>
  <si>
    <t>TABLAS 1X10X14 BRUTA TRATADA</t>
  </si>
  <si>
    <t xml:space="preserve">TABLAS 1X6X14 CEPILLADA </t>
  </si>
  <si>
    <t>TABLAS 1X8X16 CEPILLADA</t>
  </si>
  <si>
    <t>TABLAS 2X4X16 PINO TRATADO</t>
  </si>
  <si>
    <t xml:space="preserve">Equipos </t>
  </si>
  <si>
    <t>BOMBA DE AIRE MANUAL (PARA GOMAS)</t>
  </si>
  <si>
    <t>BOMBA LEO TRIFASICA DE 5.5 HP</t>
  </si>
  <si>
    <t xml:space="preserve">CARRETILLA </t>
  </si>
  <si>
    <t xml:space="preserve">CARRITOS DE CARGA CON RUEDAS </t>
  </si>
  <si>
    <t>CINCEL 3/4X12 PUNTA PLANA</t>
  </si>
  <si>
    <t>CINTA METRICA DE 5O METROS</t>
  </si>
  <si>
    <t>CINTA PARA PODADORA (0.80)</t>
  </si>
  <si>
    <t>COA 3 1/2 NO.8</t>
  </si>
  <si>
    <t>CUBO DE GOMA NO.10 MEZCLA</t>
  </si>
  <si>
    <t xml:space="preserve">DESTORNILLADOR PLANO DE PUNTA PLANA RECTA </t>
  </si>
  <si>
    <t>ESCALERA TIJERA FIBRA DE 12</t>
  </si>
  <si>
    <t xml:space="preserve">ESCUADRA DE METAL </t>
  </si>
  <si>
    <t>ESMERILADORA DE 1/2 HP PARA BANCO Trupar</t>
  </si>
  <si>
    <t>GUANTE OBRERO DOBLE REFUERZO</t>
  </si>
  <si>
    <t>LLAVE TIRSON DE 18 MM</t>
  </si>
  <si>
    <t>LLAVE TIRSON DE 24MM</t>
  </si>
  <si>
    <t xml:space="preserve">LLAVE TIRSON DE 36MM </t>
  </si>
  <si>
    <t>MACHETE 22</t>
  </si>
  <si>
    <t>MARCO SEGUETA ATT-12</t>
  </si>
  <si>
    <t>PALA CUADRADA MGO. CORTO PCYP</t>
  </si>
  <si>
    <t xml:space="preserve">PALA EXCAVADORA </t>
  </si>
  <si>
    <t>PATA DE CABRA 3/4 X36 BU-90</t>
  </si>
  <si>
    <t xml:space="preserve">PISTOLA DE COMPRESOR PARA PINTAR </t>
  </si>
  <si>
    <t xml:space="preserve">PLANA DE BELLOTA </t>
  </si>
  <si>
    <t>PORTA ECTRODOS</t>
  </si>
  <si>
    <t xml:space="preserve">PULIDORA  ELECTRICA DE 9 PULGADAS </t>
  </si>
  <si>
    <t>PULIDORA VIBRADORA DE 1/4</t>
  </si>
  <si>
    <t>RASTRILLO METAL</t>
  </si>
  <si>
    <t>TANQUE DE PRESION REFORSADO INTERIOR DE FIBRA DE VIDRIO DE 120 GALONES</t>
  </si>
  <si>
    <t>Articulos Con el Logo del INTRANT</t>
  </si>
  <si>
    <t>BOQUILLAS ALCOHOLIMETROS ALCO SENSOR  ASVXL</t>
  </si>
  <si>
    <t>BOQUILLAS ALCOHOLIMETROS ALCO SENSOR MOD. FST</t>
  </si>
  <si>
    <t>CHALECOS REFLECTIVOS CON LOGO INTRANT 2 COLORES</t>
  </si>
  <si>
    <t>CONOS REFLECTIVOS CON LOGOS DE INTRANT 2 BANDAS REFLECTIVAS MEDIDAS 68 CM  67X67 CM</t>
  </si>
  <si>
    <t>DELIMITADOR O VALLA DE TRAFICO CON LOGO INTRANT, PLASTICO  110 CMX60 CM.</t>
  </si>
  <si>
    <t xml:space="preserve">DIAGTREE MEDIDOR DE PROFUNDIDAD DE NEUMATICOS DIGITAL PORTATIL CON PANTALLA LCD Y COMPROBADOR DE NEUMATICOS PARA COCHES´CAMIONES´FURGONETAS SUV,COMBRCION METRICA DE O A 1,000IN BATERIA DE LITRO </t>
  </si>
  <si>
    <t>EPAUTO MEDIDOR DE PRECION DE NEUMATICOS PORTATIL</t>
  </si>
  <si>
    <t>SILBATOS DE METAL</t>
  </si>
  <si>
    <t xml:space="preserve">TOTAL GENERAL </t>
  </si>
  <si>
    <r>
      <t xml:space="preserve">Revisado Y Supervisado por: </t>
    </r>
    <r>
      <rPr>
        <b/>
        <sz val="11"/>
        <color theme="1"/>
        <rFont val="Calibri"/>
        <family val="2"/>
        <scheme val="minor"/>
      </rPr>
      <t>Ing. Dauris Alb. Diaz Jimenez</t>
    </r>
  </si>
  <si>
    <t>Encargado Sección de Almacén y Suministro</t>
  </si>
  <si>
    <t>Secretaria de la  Sección de Almacén y Suministro</t>
  </si>
  <si>
    <t>BUZONES  PARA DEPOSITAR RECOMENDACIÓN EN ACRILICO</t>
  </si>
  <si>
    <t>EXHIBIDORES DE FLAYERS PUBLICITARIO EN ACRILICO</t>
  </si>
  <si>
    <t>ZAFACONES MEDIANOS CON TAPA Y RUEDA DE 100 LITROS</t>
  </si>
  <si>
    <r>
      <t xml:space="preserve">Preparado por: </t>
    </r>
    <r>
      <rPr>
        <b/>
        <sz val="11"/>
        <color theme="1"/>
        <rFont val="Calibri"/>
        <family val="2"/>
        <scheme val="minor"/>
      </rPr>
      <t>Lic.Sally Suriel Medrano</t>
    </r>
  </si>
  <si>
    <t>FUNDAS NO. 6 DE RAYAS  (FARDO 100/1)</t>
  </si>
  <si>
    <t>PAPEL TOALLA P/BAÑOS 6/1</t>
  </si>
  <si>
    <t xml:space="preserve"> ESCOBAS</t>
  </si>
  <si>
    <t>PLANCHAS DE PLYWOOD 1/4</t>
  </si>
  <si>
    <t>SOBRE MANILA 15X15 AMARILLO 500/1</t>
  </si>
  <si>
    <t>TORNILLOS TIRAFONDOS 1/2 TIRAFONDOS</t>
  </si>
  <si>
    <t xml:space="preserve">GALON DE CLORO </t>
  </si>
  <si>
    <t>Protocolo</t>
  </si>
  <si>
    <t>PIES</t>
  </si>
  <si>
    <t>TAPAS DE CAJAS GENERICAS PARA ARCHIVO 10 PULG. DE FONDO 14 1/2 DE ANCHO Y 25 LARGO (SOLO TAPA</t>
  </si>
  <si>
    <t>ATOMIZADORES 32 ONZA</t>
  </si>
  <si>
    <t>ZAFACONES PARA BAÑOS DE METAL</t>
  </si>
  <si>
    <t xml:space="preserve">CUBRE FALTA DE 1/2 </t>
  </si>
  <si>
    <t>CUBRE FALTA DE 3/8</t>
  </si>
  <si>
    <t>JUNTA DRESSEN DE 1 1/2 PULGADA (UNIONES UNIVERSALES)</t>
  </si>
  <si>
    <t>LLAVE ANGULARES DOBLE DE 3/8 X 3/8</t>
  </si>
  <si>
    <t xml:space="preserve">LLAVE ANGULARES DOBLE DE1/2 X 3/8 </t>
  </si>
  <si>
    <t>MEZCLADORA DE LAVAMANOS CROMADA DE UN OLLO</t>
  </si>
  <si>
    <t>REDUCTORES BUSHING DE 2 X 1 1/2 PVC</t>
  </si>
  <si>
    <t>TAPON CIEGO CON ROSCA 1 1/2 PVC</t>
  </si>
  <si>
    <t>SILICON TRANSPARENTE GRADO INDUSTRIAL</t>
  </si>
  <si>
    <t>VALVULA DE ENTRADA 3/4 COMPLETAS (TINACO Y CISTERNA)</t>
  </si>
  <si>
    <t xml:space="preserve">YEE DE 3X3 PVC </t>
  </si>
  <si>
    <t>DIFUSORES 6X8 TIPO REJILLA (GRANDE)</t>
  </si>
  <si>
    <t>CONTROL UNIVERSAL  PARA AIRE SPLIT</t>
  </si>
  <si>
    <t>TANQUE DE GAS REFRIGERANTE 410 (DE 22 LIBRAS)</t>
  </si>
  <si>
    <t>TANQUE DE GAS REFRIGERANTE R-22 (DE 22 LIBRAS)</t>
  </si>
  <si>
    <t xml:space="preserve">TIMER GENERICO (DELAY) GAIR </t>
  </si>
  <si>
    <t>VACUCEL DE 3/8 X 3/8</t>
  </si>
  <si>
    <t>VACUCEL DE 1 1/2 X 3/8</t>
  </si>
  <si>
    <t>CLAVOS F-50 DE 50MM  DE1 1/2 PULGADA</t>
  </si>
  <si>
    <t>CLAVOS F-40 DE 50MM  DE 2 PULGADA</t>
  </si>
  <si>
    <t>ALICATE MECANICO 10 REEYN KRAT</t>
  </si>
  <si>
    <t>ALICATE NO.8 STANLEY</t>
  </si>
  <si>
    <t>ALICATE PELA CABLE AUTOMATICO PEC-AUT  STANLEY</t>
  </si>
  <si>
    <t>BISAGRAS DE PRESION EN PARES (SIEGAS)</t>
  </si>
  <si>
    <t xml:space="preserve">GALONES DE CARBOXOTA </t>
  </si>
  <si>
    <t>JUEGOS DE CUBOS  24 Piesas HOTECHE</t>
  </si>
  <si>
    <t>JUEGOS DE MECHAS PARED TRUPER</t>
  </si>
  <si>
    <t>DISCO PARA PULIR METAL PEQUEÑO</t>
  </si>
  <si>
    <t>CINTA ANTIDESLIZANTE DE 1 PULGADA BEST VALUE</t>
  </si>
  <si>
    <t>LLAVIN PARA PUERTA FLOTANTE</t>
  </si>
  <si>
    <t>CINTA GRIS DE AIRE ACONDICIONADO DE 2 PULGADAS SURTEK</t>
  </si>
  <si>
    <t>LLAVINES PARA GAVETAS ESCRITORIO TALLO CORTO</t>
  </si>
  <si>
    <t>LLAVINES PARA  GAVETAS ESCRITORIO (TALLO LARGO)</t>
  </si>
  <si>
    <t>LLAVINES PARA PUERTA DE CRISTAL</t>
  </si>
  <si>
    <t xml:space="preserve">MANGUERA  DE 3/4 (PARA JARDIN VERDES COMPLETAS) DE 100 PIES </t>
  </si>
  <si>
    <t>MAZETA DE 6 LIBRAS DE HIERRO</t>
  </si>
  <si>
    <t>MECHA  PLANA  DE 1 PULGADA</t>
  </si>
  <si>
    <t>MECHA PLANA DE 1/2 PULGADA</t>
  </si>
  <si>
    <t>MECHA PLANA DE 3/4 PULGADA</t>
  </si>
  <si>
    <t>PUNTA ESTRIAS No. 2 (PEQUE{AS)</t>
  </si>
  <si>
    <t>PUNTAS DE ESTRIAS No. 2 (GRANDES)</t>
  </si>
  <si>
    <t>SAQUETA PARA  ELECTRICISTA</t>
  </si>
  <si>
    <t>TIRADORES PARA PUERTAS</t>
  </si>
  <si>
    <t>MAZETA DE GOMA DE 8 ONZAS</t>
  </si>
  <si>
    <t>PINZA DE CORTE DE 8 PULGADAS</t>
  </si>
  <si>
    <t>TORNILLO CON TUERCA  DE 1 PULGADA</t>
  </si>
  <si>
    <t>TORNILLOS DE ALUCIN DE 2 1/2</t>
  </si>
  <si>
    <t>TORNILLOS PARA  SHEETROCK</t>
  </si>
  <si>
    <t>TORNILLOS DE ALUZINC DE 1 PULGADA</t>
  </si>
  <si>
    <t>TORNILLOS DE ALUZINC DE 1 1/2 PULGADA</t>
  </si>
  <si>
    <t>CARETA PARA SOLDAR COMPLETA</t>
  </si>
  <si>
    <t>CONECTORES MEDIA LUNA DE 3/4 DE PULGADAS</t>
  </si>
  <si>
    <t>CONECTORES MEDIA LUNA DE 1/2 DE PULGADAS</t>
  </si>
  <si>
    <t>CEMENTO BLANCO DE 2 LIBRAS</t>
  </si>
  <si>
    <t>CEMENTO BLANCO DE 25 KG</t>
  </si>
  <si>
    <t>CINCEL 5/8 PLANO</t>
  </si>
  <si>
    <t>JUEGO DE DESTORNILLADORES PLANOS TOTAL VERDE</t>
  </si>
  <si>
    <t xml:space="preserve">JUEGOS DE LLAVES ALLEN TOTAL </t>
  </si>
  <si>
    <t xml:space="preserve">LLANA LISA </t>
  </si>
  <si>
    <t>MANGUERA PLASTICA PARA JARDIN DE 25 PIES</t>
  </si>
  <si>
    <t>NIVEL PARA ALBAÑIL</t>
  </si>
  <si>
    <t>PICO COMPLETO</t>
  </si>
  <si>
    <t>REMACHADORA 3 BOCA RE-9 TRUPPER</t>
  </si>
  <si>
    <t>TALADRO DE MADRIL DE GOMA TRUPPER</t>
  </si>
  <si>
    <t>CAMAROTES DOBLES</t>
  </si>
  <si>
    <t>PORTA BANDERINES (PARQUE CIUDAD JUAN BOSCH)</t>
  </si>
  <si>
    <t>VARILLA PARA INCAR BANDERINES</t>
  </si>
  <si>
    <t>EXTENCION MEDIDOR DE AIRE</t>
  </si>
  <si>
    <t>EXHIBIDORES DE BANNER 120X60 PUBLICITARIO EN METAL</t>
  </si>
  <si>
    <t>CARPETA COLGANTE PENDAFLEX 81/2X11</t>
  </si>
  <si>
    <t xml:space="preserve">STOCK    FISICO ENERO 2021 </t>
  </si>
  <si>
    <t>PAQUETES</t>
  </si>
  <si>
    <t>MOVIMIENTOS POST-TOMA DE MUESTRA</t>
  </si>
  <si>
    <t>STOCK    FISICO ENERO 2021</t>
  </si>
  <si>
    <t>ENTRADAS FEBRERO 2021</t>
  </si>
  <si>
    <t>REQUISICIONES FEBRERO 2021</t>
  </si>
  <si>
    <t>SUB-TOTAL MATERIAL GASTABLE</t>
  </si>
  <si>
    <t>SUB-TOTAL INSUMOS</t>
  </si>
  <si>
    <t>SUB-TOTAL MAYORDOMIA</t>
  </si>
  <si>
    <t>SUB-TOTAL PROTOCOLO</t>
  </si>
  <si>
    <t>SUB-TOTAL ELECTRICOS</t>
  </si>
  <si>
    <t>SUB-TOTAL PLOMERIA</t>
  </si>
  <si>
    <t>SUB-TOTAL AIRE ACONDICIONADO.</t>
  </si>
  <si>
    <t>SUB-TOTAL MANT. DE VEHICULOS</t>
  </si>
  <si>
    <t>SUB-TOTAL PINTURA</t>
  </si>
  <si>
    <t>SUB-TOTAL HERRAMIENTAS</t>
  </si>
  <si>
    <t>SUB-TOTAL MANTENIMIENTO</t>
  </si>
  <si>
    <t>SUB-TOTAL EQUIPOS</t>
  </si>
  <si>
    <t>SUB-TOTAL ARTICULOS LOGO INTRANT</t>
  </si>
  <si>
    <t xml:space="preserve">CAFÉ STO DGO PAQ 1 LIBRA </t>
  </si>
  <si>
    <t>CUBETA CON EXPRIMIDOR</t>
  </si>
  <si>
    <t xml:space="preserve"> </t>
  </si>
  <si>
    <t xml:space="preserve">ROTULOS DE IMPRESIÓN 3X2 CRISTAL </t>
  </si>
  <si>
    <t>LEY IMPRESAS PARA ADULTOS</t>
  </si>
  <si>
    <t>ENTRADAS MARZO 2021</t>
  </si>
  <si>
    <t>REQUISICIONES MARZO 2021</t>
  </si>
  <si>
    <t>STOCK  FEBRERO 2021</t>
  </si>
  <si>
    <t>VASOS DESECHABLE DE CAFE Nc. 2  24/1</t>
  </si>
  <si>
    <t>CREMORA COUNTRY BARN 23 ONZ.</t>
  </si>
  <si>
    <t>CAJITA TOMACORRIENTE 2X4 PLASTICA (BREAKER DE 1 ESPACION)</t>
  </si>
  <si>
    <t>SUPLIDOR</t>
  </si>
  <si>
    <t>ALCOHOL AL 70%  EN FRASCOS DE 4 ONZAS</t>
  </si>
  <si>
    <r>
      <t xml:space="preserve">ALCOHOL AL 70% EN FRASCOS DE </t>
    </r>
    <r>
      <rPr>
        <sz val="9"/>
        <rFont val="Arial"/>
        <family val="2"/>
      </rPr>
      <t>8 ONZA</t>
    </r>
    <r>
      <rPr>
        <sz val="9"/>
        <rFont val="Arial"/>
      </rPr>
      <t>S</t>
    </r>
  </si>
  <si>
    <t>SUPLISTORE</t>
  </si>
  <si>
    <t>PAPEL JUMBO JUNIOR TIPO DISCO  (NIVEO)</t>
  </si>
  <si>
    <t>PAPEL TOALLA P/BAÑOS 6/1 (NIVEO)</t>
  </si>
  <si>
    <t>MAROTAC COM.</t>
  </si>
  <si>
    <t>GRAPADORA POINTER  (PEQUEÑA , PARA 25 HOJAS)</t>
  </si>
  <si>
    <t>CASCOS MOTOCROSS NEGROS XL</t>
  </si>
  <si>
    <t>BORRANTE DE LECHE GRANDE BEIFA</t>
  </si>
  <si>
    <t>BANDEJA METAL DE DOS NIVELES (2/1) TALBOT NEGRA</t>
  </si>
  <si>
    <t>VELEZ IMPORT S.R.L</t>
  </si>
  <si>
    <t>BANDEJA METAL DE TRES NIVELES (3/1) TALBOT NEGRA</t>
  </si>
  <si>
    <t>CINTA ADHESIVA  3/4 HIGHLAND</t>
  </si>
  <si>
    <t xml:space="preserve">LABELS PARA FOLDERS VERDES BEIFA </t>
  </si>
  <si>
    <t>GRAPA STANDARD SYSABE</t>
  </si>
  <si>
    <t>LAPIZ DE CARBON NO. 2 OFIMAC</t>
  </si>
  <si>
    <t>LIBRETA RAYADA BLANCA  5X8 VELEZ</t>
  </si>
  <si>
    <t>MAQUINA ENCUADERNAR EN ESPIRAL OFIMAX</t>
  </si>
  <si>
    <t>EXENTO</t>
  </si>
  <si>
    <t>PORTA LAPIZ EN METAL NEGRO TALBOT</t>
  </si>
  <si>
    <t>RESALTADOR AMARILLO TIPO LAPIZ BISELADO OFINOTA</t>
  </si>
  <si>
    <t>ROLLO DE PAPEL PARA SUMADORA (ROLLO BLANCO) B-24 REGULAR ABBY</t>
  </si>
  <si>
    <t>SACAPUNTA DE METAL 1 HOYO</t>
  </si>
  <si>
    <t xml:space="preserve">TINTA HP 711 YELLOW DESIGNJET </t>
  </si>
  <si>
    <t>LIBRETA RAYADA BLANCA 8½ X 11 VELEZ</t>
  </si>
  <si>
    <t>PIZARRA DE CORCHO 24X36</t>
  </si>
  <si>
    <t>PIZARRA DE CORCHO QUARTEC 24X36</t>
  </si>
  <si>
    <t>OFFITEK,S.R.L</t>
  </si>
  <si>
    <t>30/3/20213</t>
  </si>
  <si>
    <t>PIZARRA MAGICA BLANCA QUARTEC 24X35</t>
  </si>
  <si>
    <t>LAPICEROS AZUL FABEL-CASTELL</t>
  </si>
  <si>
    <t>LAPICEROS NEGRO FABEL-CASTELL</t>
  </si>
  <si>
    <t>LAPICEROS ROJO FABEL-CASTELL</t>
  </si>
  <si>
    <t xml:space="preserve">PERFORADORA DE 2 HOYOS </t>
  </si>
  <si>
    <t xml:space="preserve">MASCARILLAS QUIRURGICAS </t>
  </si>
  <si>
    <t>ZAFACON PARA OFICINA DE METAL 265X266</t>
  </si>
  <si>
    <t>CUBETAS PQUEÑAS CON EXPRIMIDOR (ROJAS)</t>
  </si>
  <si>
    <t>FUNDAS NO.30 TRANSPARENTE</t>
  </si>
  <si>
    <t>TOALLA PARA LIMPIAR CRISTALES EN MICROFIBRA (AMARILLA)</t>
  </si>
  <si>
    <t>CLIPS No. 1 SOLUTECH  (PEQ.)</t>
  </si>
  <si>
    <t>JIMENEZ CRUZ S.R.L</t>
  </si>
  <si>
    <t>CLIPS No. 2 TALBOT  (JUMBO)</t>
  </si>
  <si>
    <t>CARPETA COLGANTE AMPOFLEX 8 1/2X14 (25/1) FORDEL CAJA</t>
  </si>
  <si>
    <t>CAJAS GENERICAS PARA ARCHIVAR 8 1/2 X11</t>
  </si>
  <si>
    <t>ROLLO DE PAPEL PARA PLOTTER ABBY  24X151</t>
  </si>
  <si>
    <t>FOLDERS C/B SATINADO TALBOT BLANCO</t>
  </si>
  <si>
    <t>BOLSAS DE TELA INSTITUCIONALES</t>
  </si>
  <si>
    <t>BROTHERS SUPPLY</t>
  </si>
  <si>
    <t xml:space="preserve">RESMA DE PAPEL PRINTON 8½ X 11  </t>
  </si>
  <si>
    <t>RESMA DE PAPEL NAVIAGATOR PLATINIUM  8½ X 14</t>
  </si>
  <si>
    <t>LIJA DE ESMERIL No.60 EN YARDAS (PLIEGOS)</t>
  </si>
  <si>
    <t>LIJA DE ESMERIL No.80 EN YARDAS (PLIEGOS)</t>
  </si>
  <si>
    <t>LIJA DE ESMERIL No.120 EN YARDAS (PLIEGOS)</t>
  </si>
  <si>
    <t>INVENTARIO TRIMESTRAL ENERO-MARZO 2021</t>
  </si>
  <si>
    <t xml:space="preserve">STOCK MARZO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</si>
</sst>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\-mm\-yy;@"/>
    <numFmt numFmtId="165" formatCode="_-[$RD$-1C0A]* #,##0.00_-;\-[$RD$-1C0A]* #,##0.00_-;_-[$RD$-1C0A]* &quot;-&quot;??_-;_-@_-"/>
    <numFmt numFmtId="166" formatCode="_(&quot;RD$&quot;* #,##0.00_);_(&quot;RD$&quot;* \(#,##0.00\);_(&quot;RD$&quot;* &quot;-&quot;??_);_(@_)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9"/>
      <color indexed="8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Arial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u/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9999"/>
        <bgColor indexed="64"/>
      </patternFill>
    </fill>
    <fill>
      <patternFill patternType="solid">
        <fgColor theme="6" tint="0.59999389629810485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theme="5" tint="0.39997558519241921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theme="5" tint="0.39997558519241921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5" tint="0.39997558519241921"/>
      </left>
      <right/>
      <top/>
      <bottom/>
      <diagonal/>
    </border>
    <border>
      <left/>
      <right style="thin">
        <color theme="5" tint="0.3999755851924192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9">
    <xf numFmtId="0" fontId="0" fillId="0" borderId="0" xfId="0"/>
    <xf numFmtId="0" fontId="0" fillId="0" borderId="0" xfId="0" applyFill="1" applyBorder="1"/>
    <xf numFmtId="164" fontId="0" fillId="0" borderId="0" xfId="0" applyNumberForma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65" fontId="0" fillId="2" borderId="0" xfId="0" applyNumberForma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0" fillId="2" borderId="0" xfId="0" applyFill="1"/>
    <xf numFmtId="0" fontId="0" fillId="2" borderId="0" xfId="0" applyFill="1" applyAlignment="1">
      <alignment wrapText="1"/>
    </xf>
    <xf numFmtId="0" fontId="0" fillId="0" borderId="0" xfId="0" applyAlignment="1"/>
    <xf numFmtId="0" fontId="9" fillId="2" borderId="0" xfId="0" applyFont="1" applyFill="1"/>
    <xf numFmtId="0" fontId="0" fillId="2" borderId="0" xfId="0" applyFill="1" applyAlignment="1"/>
    <xf numFmtId="0" fontId="11" fillId="2" borderId="4" xfId="0" applyFont="1" applyFill="1" applyBorder="1" applyAlignment="1">
      <alignment horizontal="center"/>
    </xf>
    <xf numFmtId="0" fontId="0" fillId="2" borderId="0" xfId="0" applyFill="1" applyBorder="1"/>
    <xf numFmtId="0" fontId="1" fillId="0" borderId="0" xfId="0" applyFont="1"/>
    <xf numFmtId="0" fontId="0" fillId="0" borderId="0" xfId="0" applyBorder="1" applyAlignment="1"/>
    <xf numFmtId="0" fontId="0" fillId="0" borderId="0" xfId="0" applyBorder="1"/>
    <xf numFmtId="0" fontId="1" fillId="0" borderId="0" xfId="0" applyFont="1" applyBorder="1" applyAlignment="1"/>
    <xf numFmtId="0" fontId="1" fillId="0" borderId="0" xfId="0" applyFont="1" applyBorder="1"/>
    <xf numFmtId="0" fontId="0" fillId="2" borderId="0" xfId="0" applyFont="1" applyFill="1"/>
    <xf numFmtId="165" fontId="6" fillId="2" borderId="0" xfId="0" applyNumberFormat="1" applyFont="1" applyFill="1" applyBorder="1" applyAlignment="1">
      <alignment horizontal="center" vertical="center" wrapText="1"/>
    </xf>
    <xf numFmtId="165" fontId="0" fillId="2" borderId="0" xfId="0" applyNumberFormat="1" applyFill="1" applyBorder="1" applyAlignment="1">
      <alignment horizontal="left" vertical="center"/>
    </xf>
    <xf numFmtId="165" fontId="2" fillId="2" borderId="0" xfId="0" applyNumberFormat="1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0" fillId="0" borderId="0" xfId="0" applyBorder="1" applyAlignment="1">
      <alignment horizontal="left"/>
    </xf>
    <xf numFmtId="166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8" fillId="2" borderId="4" xfId="0" applyFont="1" applyFill="1" applyBorder="1" applyAlignment="1">
      <alignment horizontal="center"/>
    </xf>
    <xf numFmtId="164" fontId="7" fillId="4" borderId="6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/>
    <xf numFmtId="14" fontId="8" fillId="2" borderId="4" xfId="0" applyNumberFormat="1" applyFont="1" applyFill="1" applyBorder="1" applyAlignment="1">
      <alignment horizontal="center"/>
    </xf>
    <xf numFmtId="0" fontId="8" fillId="2" borderId="4" xfId="0" applyFont="1" applyFill="1" applyBorder="1" applyAlignment="1">
      <alignment horizontal="left" wrapText="1"/>
    </xf>
    <xf numFmtId="0" fontId="8" fillId="2" borderId="4" xfId="0" applyFont="1" applyFill="1" applyBorder="1" applyAlignment="1"/>
    <xf numFmtId="166" fontId="8" fillId="2" borderId="4" xfId="0" applyNumberFormat="1" applyFont="1" applyFill="1" applyBorder="1" applyAlignment="1">
      <alignment horizontal="center" vertical="center"/>
    </xf>
    <xf numFmtId="165" fontId="8" fillId="2" borderId="4" xfId="0" applyNumberFormat="1" applyFont="1" applyFill="1" applyBorder="1" applyAlignment="1">
      <alignment horizontal="center" vertical="center" wrapText="1"/>
    </xf>
    <xf numFmtId="3" fontId="8" fillId="2" borderId="4" xfId="0" applyNumberFormat="1" applyFont="1" applyFill="1" applyBorder="1" applyAlignment="1">
      <alignment vertical="center"/>
    </xf>
    <xf numFmtId="0" fontId="8" fillId="2" borderId="4" xfId="0" applyFont="1" applyFill="1" applyBorder="1" applyAlignment="1">
      <alignment vertical="center"/>
    </xf>
    <xf numFmtId="0" fontId="8" fillId="2" borderId="4" xfId="0" applyFont="1" applyFill="1" applyBorder="1" applyAlignment="1">
      <alignment wrapText="1"/>
    </xf>
    <xf numFmtId="165" fontId="8" fillId="2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vertical="top" wrapText="1"/>
    </xf>
    <xf numFmtId="166" fontId="8" fillId="2" borderId="4" xfId="0" applyNumberFormat="1" applyFont="1" applyFill="1" applyBorder="1" applyAlignment="1">
      <alignment horizontal="center" vertical="center" wrapText="1"/>
    </xf>
    <xf numFmtId="14" fontId="8" fillId="2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49" fontId="8" fillId="2" borderId="4" xfId="0" applyNumberFormat="1" applyFont="1" applyFill="1" applyBorder="1" applyAlignment="1">
      <alignment horizontal="center" vertical="center" wrapText="1"/>
    </xf>
    <xf numFmtId="166" fontId="8" fillId="5" borderId="4" xfId="0" applyNumberFormat="1" applyFont="1" applyFill="1" applyBorder="1" applyAlignment="1">
      <alignment horizontal="center" vertical="center" wrapText="1"/>
    </xf>
    <xf numFmtId="3" fontId="8" fillId="2" borderId="4" xfId="0" applyNumberFormat="1" applyFont="1" applyFill="1" applyBorder="1" applyAlignment="1"/>
    <xf numFmtId="0" fontId="8" fillId="2" borderId="4" xfId="0" applyFont="1" applyFill="1" applyBorder="1" applyAlignment="1">
      <alignment horizontal="left"/>
    </xf>
    <xf numFmtId="0" fontId="8" fillId="2" borderId="4" xfId="0" applyFont="1" applyFill="1" applyBorder="1" applyAlignment="1">
      <alignment vertical="top"/>
    </xf>
    <xf numFmtId="3" fontId="8" fillId="2" borderId="4" xfId="0" applyNumberFormat="1" applyFont="1" applyFill="1" applyBorder="1" applyAlignment="1">
      <alignment vertical="top" wrapText="1"/>
    </xf>
    <xf numFmtId="0" fontId="8" fillId="2" borderId="4" xfId="0" applyFont="1" applyFill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/>
    </xf>
    <xf numFmtId="166" fontId="8" fillId="5" borderId="4" xfId="0" applyNumberFormat="1" applyFont="1" applyFill="1" applyBorder="1" applyAlignment="1">
      <alignment horizontal="center" vertical="center"/>
    </xf>
    <xf numFmtId="14" fontId="8" fillId="2" borderId="4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wrapText="1"/>
    </xf>
    <xf numFmtId="164" fontId="10" fillId="2" borderId="4" xfId="0" applyNumberFormat="1" applyFont="1" applyFill="1" applyBorder="1" applyAlignment="1">
      <alignment vertical="center"/>
    </xf>
    <xf numFmtId="164" fontId="10" fillId="2" borderId="6" xfId="0" applyNumberFormat="1" applyFont="1" applyFill="1" applyBorder="1" applyAlignment="1">
      <alignment vertical="center"/>
    </xf>
    <xf numFmtId="0" fontId="10" fillId="2" borderId="6" xfId="0" applyNumberFormat="1" applyFont="1" applyFill="1" applyBorder="1" applyAlignment="1">
      <alignment vertical="center"/>
    </xf>
    <xf numFmtId="165" fontId="10" fillId="2" borderId="4" xfId="0" applyNumberFormat="1" applyFont="1" applyFill="1" applyBorder="1" applyAlignment="1">
      <alignment horizontal="center" vertical="center" wrapText="1"/>
    </xf>
    <xf numFmtId="165" fontId="10" fillId="2" borderId="3" xfId="0" applyNumberFormat="1" applyFont="1" applyFill="1" applyBorder="1" applyAlignment="1">
      <alignment horizontal="left" vertical="center" wrapText="1"/>
    </xf>
    <xf numFmtId="164" fontId="7" fillId="4" borderId="7" xfId="0" applyNumberFormat="1" applyFont="1" applyFill="1" applyBorder="1" applyAlignment="1">
      <alignment horizontal="center" vertical="center"/>
    </xf>
    <xf numFmtId="164" fontId="7" fillId="4" borderId="5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right" vertical="center"/>
    </xf>
    <xf numFmtId="0" fontId="8" fillId="2" borderId="4" xfId="0" applyFont="1" applyFill="1" applyBorder="1" applyAlignment="1">
      <alignment horizontal="right"/>
    </xf>
    <xf numFmtId="0" fontId="8" fillId="2" borderId="4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right" vertical="top" wrapText="1"/>
    </xf>
    <xf numFmtId="0" fontId="8" fillId="2" borderId="4" xfId="0" applyFont="1" applyFill="1" applyBorder="1" applyAlignment="1">
      <alignment horizontal="right" vertical="top"/>
    </xf>
    <xf numFmtId="0" fontId="8" fillId="2" borderId="4" xfId="0" applyFont="1" applyFill="1" applyBorder="1" applyAlignment="1">
      <alignment horizontal="right" vertical="center" wrapText="1"/>
    </xf>
    <xf numFmtId="0" fontId="9" fillId="2" borderId="4" xfId="0" applyFont="1" applyFill="1" applyBorder="1"/>
    <xf numFmtId="0" fontId="8" fillId="2" borderId="4" xfId="0" applyFont="1" applyFill="1" applyBorder="1" applyAlignment="1">
      <alignment horizontal="right" wrapText="1"/>
    </xf>
    <xf numFmtId="0" fontId="8" fillId="2" borderId="6" xfId="0" applyFont="1" applyFill="1" applyBorder="1" applyAlignment="1">
      <alignment horizontal="center"/>
    </xf>
    <xf numFmtId="14" fontId="8" fillId="2" borderId="4" xfId="0" applyNumberFormat="1" applyFont="1" applyFill="1" applyBorder="1" applyAlignment="1">
      <alignment horizontal="center" wrapText="1"/>
    </xf>
    <xf numFmtId="0" fontId="0" fillId="2" borderId="4" xfId="0" applyFont="1" applyFill="1" applyBorder="1"/>
    <xf numFmtId="0" fontId="11" fillId="2" borderId="4" xfId="0" applyFont="1" applyFill="1" applyBorder="1" applyAlignment="1">
      <alignment horizontal="right"/>
    </xf>
    <xf numFmtId="0" fontId="11" fillId="2" borderId="4" xfId="0" applyFont="1" applyFill="1" applyBorder="1"/>
    <xf numFmtId="14" fontId="11" fillId="2" borderId="4" xfId="0" applyNumberFormat="1" applyFont="1" applyFill="1" applyBorder="1" applyAlignment="1">
      <alignment horizontal="center"/>
    </xf>
    <xf numFmtId="0" fontId="11" fillId="2" borderId="4" xfId="0" applyFont="1" applyFill="1" applyBorder="1" applyAlignment="1">
      <alignment horizontal="left" wrapText="1"/>
    </xf>
    <xf numFmtId="166" fontId="11" fillId="2" borderId="4" xfId="0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left"/>
    </xf>
    <xf numFmtId="0" fontId="11" fillId="2" borderId="4" xfId="0" applyFont="1" applyFill="1" applyBorder="1" applyAlignment="1"/>
    <xf numFmtId="0" fontId="14" fillId="2" borderId="4" xfId="0" applyFont="1" applyFill="1" applyBorder="1" applyAlignment="1">
      <alignment horizontal="center"/>
    </xf>
    <xf numFmtId="14" fontId="0" fillId="2" borderId="4" xfId="0" applyNumberFormat="1" applyFont="1" applyFill="1" applyBorder="1"/>
    <xf numFmtId="164" fontId="8" fillId="2" borderId="6" xfId="0" applyNumberFormat="1" applyFont="1" applyFill="1" applyBorder="1" applyAlignment="1">
      <alignment vertical="center"/>
    </xf>
    <xf numFmtId="0" fontId="12" fillId="2" borderId="4" xfId="0" applyFont="1" applyFill="1" applyBorder="1" applyAlignment="1">
      <alignment horizontal="right" vertical="top" wrapText="1"/>
    </xf>
    <xf numFmtId="0" fontId="12" fillId="2" borderId="4" xfId="0" applyFont="1" applyFill="1" applyBorder="1" applyAlignment="1">
      <alignment vertical="top" wrapText="1"/>
    </xf>
    <xf numFmtId="166" fontId="13" fillId="5" borderId="4" xfId="0" applyNumberFormat="1" applyFont="1" applyFill="1" applyBorder="1" applyAlignment="1">
      <alignment horizontal="center" vertical="center" wrapText="1"/>
    </xf>
    <xf numFmtId="0" fontId="10" fillId="2" borderId="4" xfId="0" applyNumberFormat="1" applyFont="1" applyFill="1" applyBorder="1" applyAlignment="1">
      <alignment horizontal="right" vertical="center"/>
    </xf>
    <xf numFmtId="164" fontId="3" fillId="6" borderId="8" xfId="0" applyNumberFormat="1" applyFont="1" applyFill="1" applyBorder="1" applyAlignment="1">
      <alignment vertical="center"/>
    </xf>
    <xf numFmtId="164" fontId="3" fillId="6" borderId="9" xfId="0" applyNumberFormat="1" applyFont="1" applyFill="1" applyBorder="1" applyAlignment="1">
      <alignment vertical="center"/>
    </xf>
    <xf numFmtId="3" fontId="3" fillId="6" borderId="9" xfId="0" applyNumberFormat="1" applyFont="1" applyFill="1" applyBorder="1" applyAlignment="1">
      <alignment vertical="center"/>
    </xf>
    <xf numFmtId="165" fontId="3" fillId="6" borderId="9" xfId="0" applyNumberFormat="1" applyFont="1" applyFill="1" applyBorder="1" applyAlignment="1">
      <alignment horizontal="center" vertical="center" wrapText="1"/>
    </xf>
    <xf numFmtId="165" fontId="3" fillId="6" borderId="2" xfId="0" applyNumberFormat="1" applyFont="1" applyFill="1" applyBorder="1" applyAlignment="1">
      <alignment horizontal="center" vertical="center" wrapText="1"/>
    </xf>
    <xf numFmtId="165" fontId="3" fillId="6" borderId="10" xfId="0" applyNumberFormat="1" applyFont="1" applyFill="1" applyBorder="1" applyAlignment="1">
      <alignment horizontal="left" vertical="center" wrapText="1"/>
    </xf>
    <xf numFmtId="0" fontId="8" fillId="2" borderId="6" xfId="0" applyFont="1" applyFill="1" applyBorder="1" applyAlignment="1"/>
    <xf numFmtId="164" fontId="7" fillId="4" borderId="6" xfId="0" applyNumberFormat="1" applyFont="1" applyFill="1" applyBorder="1" applyAlignment="1">
      <alignment horizontal="center" vertical="center"/>
    </xf>
    <xf numFmtId="0" fontId="8" fillId="2" borderId="6" xfId="0" applyFont="1" applyFill="1" applyBorder="1"/>
    <xf numFmtId="0" fontId="11" fillId="2" borderId="6" xfId="0" applyFont="1" applyFill="1" applyBorder="1"/>
    <xf numFmtId="0" fontId="11" fillId="2" borderId="6" xfId="0" applyFont="1" applyFill="1" applyBorder="1" applyAlignment="1"/>
    <xf numFmtId="164" fontId="7" fillId="4" borderId="6" xfId="0" applyNumberFormat="1" applyFont="1" applyFill="1" applyBorder="1" applyAlignment="1">
      <alignment horizontal="left" vertical="center" wrapText="1"/>
    </xf>
    <xf numFmtId="165" fontId="8" fillId="2" borderId="4" xfId="0" applyNumberFormat="1" applyFont="1" applyFill="1" applyBorder="1" applyAlignment="1">
      <alignment horizontal="left" vertical="center" wrapText="1"/>
    </xf>
    <xf numFmtId="165" fontId="8" fillId="2" borderId="4" xfId="0" applyNumberFormat="1" applyFont="1" applyFill="1" applyBorder="1" applyAlignment="1">
      <alignment horizontal="left" vertical="center"/>
    </xf>
    <xf numFmtId="165" fontId="10" fillId="2" borderId="4" xfId="0" applyNumberFormat="1" applyFont="1" applyFill="1" applyBorder="1" applyAlignment="1">
      <alignment horizontal="left" vertical="center" wrapText="1"/>
    </xf>
    <xf numFmtId="164" fontId="7" fillId="4" borderId="5" xfId="0" applyNumberFormat="1" applyFont="1" applyFill="1" applyBorder="1" applyAlignment="1">
      <alignment horizontal="left" vertical="center"/>
    </xf>
    <xf numFmtId="164" fontId="6" fillId="3" borderId="0" xfId="0" applyNumberFormat="1" applyFont="1" applyFill="1" applyBorder="1" applyAlignment="1">
      <alignment horizontal="center" vertical="center" wrapText="1"/>
    </xf>
    <xf numFmtId="164" fontId="6" fillId="3" borderId="11" xfId="0" applyNumberFormat="1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165" fontId="6" fillId="3" borderId="11" xfId="0" applyNumberFormat="1" applyFont="1" applyFill="1" applyBorder="1" applyAlignment="1">
      <alignment horizontal="center" vertical="center" wrapText="1"/>
    </xf>
    <xf numFmtId="165" fontId="6" fillId="3" borderId="11" xfId="0" applyNumberFormat="1" applyFont="1" applyFill="1" applyBorder="1" applyAlignment="1">
      <alignment horizontal="left" vertical="center" wrapText="1"/>
    </xf>
    <xf numFmtId="0" fontId="0" fillId="2" borderId="12" xfId="0" applyFont="1" applyFill="1" applyBorder="1"/>
    <xf numFmtId="0" fontId="0" fillId="2" borderId="0" xfId="0" applyFont="1" applyFill="1" applyBorder="1"/>
    <xf numFmtId="0" fontId="0" fillId="2" borderId="11" xfId="0" applyFont="1" applyFill="1" applyBorder="1"/>
    <xf numFmtId="165" fontId="0" fillId="2" borderId="13" xfId="0" applyNumberFormat="1" applyFont="1" applyFill="1" applyBorder="1" applyAlignment="1">
      <alignment horizontal="left"/>
    </xf>
    <xf numFmtId="3" fontId="8" fillId="2" borderId="4" xfId="0" applyNumberFormat="1" applyFont="1" applyFill="1" applyBorder="1" applyAlignment="1">
      <alignment wrapText="1"/>
    </xf>
    <xf numFmtId="0" fontId="6" fillId="7" borderId="11" xfId="0" applyFont="1" applyFill="1" applyBorder="1" applyAlignment="1">
      <alignment horizontal="center" vertical="center" wrapText="1"/>
    </xf>
    <xf numFmtId="165" fontId="10" fillId="2" borderId="4" xfId="0" applyNumberFormat="1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vertical="center"/>
    </xf>
    <xf numFmtId="0" fontId="0" fillId="2" borderId="0" xfId="0" applyFill="1" applyBorder="1" applyAlignment="1"/>
    <xf numFmtId="0" fontId="1" fillId="2" borderId="0" xfId="0" applyFont="1" applyFill="1" applyBorder="1" applyAlignment="1"/>
    <xf numFmtId="14" fontId="15" fillId="2" borderId="4" xfId="0" applyNumberFormat="1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left" wrapText="1"/>
    </xf>
    <xf numFmtId="0" fontId="15" fillId="2" borderId="4" xfId="0" applyFont="1" applyFill="1" applyBorder="1" applyAlignment="1">
      <alignment horizontal="right"/>
    </xf>
    <xf numFmtId="0" fontId="15" fillId="2" borderId="4" xfId="0" applyNumberFormat="1" applyFont="1" applyFill="1" applyBorder="1" applyAlignment="1">
      <alignment horizontal="right"/>
    </xf>
    <xf numFmtId="165" fontId="15" fillId="2" borderId="4" xfId="0" applyNumberFormat="1" applyFont="1" applyFill="1" applyBorder="1" applyAlignment="1">
      <alignment horizontal="center" vertical="center" wrapText="1"/>
    </xf>
    <xf numFmtId="166" fontId="15" fillId="2" borderId="4" xfId="0" applyNumberFormat="1" applyFont="1" applyFill="1" applyBorder="1" applyAlignment="1">
      <alignment horizontal="center" vertical="center"/>
    </xf>
    <xf numFmtId="14" fontId="18" fillId="2" borderId="4" xfId="0" applyNumberFormat="1" applyFont="1" applyFill="1" applyBorder="1" applyAlignment="1">
      <alignment horizontal="center"/>
    </xf>
    <xf numFmtId="166" fontId="18" fillId="2" borderId="4" xfId="0" applyNumberFormat="1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left" wrapText="1"/>
    </xf>
    <xf numFmtId="0" fontId="18" fillId="2" borderId="4" xfId="0" applyFont="1" applyFill="1" applyBorder="1" applyAlignment="1">
      <alignment horizontal="right"/>
    </xf>
    <xf numFmtId="0" fontId="18" fillId="2" borderId="4" xfId="0" applyNumberFormat="1" applyFont="1" applyFill="1" applyBorder="1" applyAlignment="1">
      <alignment horizontal="right"/>
    </xf>
    <xf numFmtId="166" fontId="18" fillId="2" borderId="4" xfId="0" applyNumberFormat="1" applyFont="1" applyFill="1" applyBorder="1" applyAlignment="1">
      <alignment horizontal="center" vertical="center"/>
    </xf>
    <xf numFmtId="165" fontId="18" fillId="2" borderId="4" xfId="0" applyNumberFormat="1" applyFont="1" applyFill="1" applyBorder="1" applyAlignment="1">
      <alignment horizontal="center" vertical="center" wrapText="1"/>
    </xf>
    <xf numFmtId="165" fontId="18" fillId="2" borderId="4" xfId="0" applyNumberFormat="1" applyFont="1" applyFill="1" applyBorder="1" applyAlignment="1">
      <alignment horizontal="left" vertical="center" wrapText="1"/>
    </xf>
    <xf numFmtId="0" fontId="8" fillId="2" borderId="4" xfId="0" applyNumberFormat="1" applyFont="1" applyFill="1" applyBorder="1" applyAlignment="1">
      <alignment horizontal="right"/>
    </xf>
    <xf numFmtId="3" fontId="18" fillId="2" borderId="4" xfId="0" applyNumberFormat="1" applyFont="1" applyFill="1" applyBorder="1" applyAlignment="1">
      <alignment horizontal="right"/>
    </xf>
    <xf numFmtId="0" fontId="11" fillId="2" borderId="14" xfId="0" applyFont="1" applyFill="1" applyBorder="1"/>
    <xf numFmtId="14" fontId="21" fillId="2" borderId="15" xfId="0" applyNumberFormat="1" applyFont="1" applyFill="1" applyBorder="1" applyAlignment="1">
      <alignment horizontal="center"/>
    </xf>
    <xf numFmtId="0" fontId="8" fillId="2" borderId="14" xfId="0" applyFont="1" applyFill="1" applyBorder="1" applyAlignment="1">
      <alignment horizontal="center"/>
    </xf>
    <xf numFmtId="14" fontId="21" fillId="2" borderId="14" xfId="0" applyNumberFormat="1" applyFont="1" applyFill="1" applyBorder="1" applyAlignment="1">
      <alignment horizontal="center"/>
    </xf>
    <xf numFmtId="0" fontId="21" fillId="2" borderId="16" xfId="0" applyFont="1" applyFill="1" applyBorder="1" applyAlignment="1">
      <alignment horizontal="center"/>
    </xf>
    <xf numFmtId="166" fontId="14" fillId="2" borderId="14" xfId="0" applyNumberFormat="1" applyFont="1" applyFill="1" applyBorder="1" applyAlignment="1">
      <alignment vertical="center"/>
    </xf>
    <xf numFmtId="165" fontId="8" fillId="2" borderId="14" xfId="0" applyNumberFormat="1" applyFont="1" applyFill="1" applyBorder="1" applyAlignment="1">
      <alignment horizontal="center" vertical="center" wrapText="1"/>
    </xf>
    <xf numFmtId="49" fontId="18" fillId="2" borderId="4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4" fontId="8" fillId="2" borderId="4" xfId="0" applyNumberFormat="1" applyFont="1" applyFill="1" applyBorder="1" applyAlignment="1">
      <alignment horizontal="left"/>
    </xf>
    <xf numFmtId="14" fontId="18" fillId="2" borderId="4" xfId="0" applyNumberFormat="1" applyFont="1" applyFill="1" applyBorder="1" applyAlignment="1">
      <alignment horizontal="left"/>
    </xf>
    <xf numFmtId="14" fontId="8" fillId="2" borderId="4" xfId="0" applyNumberFormat="1" applyFont="1" applyFill="1" applyBorder="1" applyAlignment="1">
      <alignment horizontal="left" vertical="center"/>
    </xf>
    <xf numFmtId="14" fontId="8" fillId="2" borderId="4" xfId="0" applyNumberFormat="1" applyFont="1" applyFill="1" applyBorder="1" applyAlignment="1">
      <alignment horizontal="left" vertical="center" wrapText="1"/>
    </xf>
    <xf numFmtId="164" fontId="10" fillId="2" borderId="6" xfId="0" applyNumberFormat="1" applyFont="1" applyFill="1" applyBorder="1" applyAlignment="1">
      <alignment horizontal="left" vertical="center"/>
    </xf>
    <xf numFmtId="14" fontId="15" fillId="2" borderId="4" xfId="0" applyNumberFormat="1" applyFont="1" applyFill="1" applyBorder="1" applyAlignment="1">
      <alignment horizontal="left"/>
    </xf>
    <xf numFmtId="14" fontId="8" fillId="2" borderId="6" xfId="0" applyNumberFormat="1" applyFont="1" applyFill="1" applyBorder="1" applyAlignment="1">
      <alignment horizontal="left"/>
    </xf>
    <xf numFmtId="14" fontId="8" fillId="2" borderId="4" xfId="0" applyNumberFormat="1" applyFont="1" applyFill="1" applyBorder="1" applyAlignment="1">
      <alignment horizontal="left" wrapText="1"/>
    </xf>
    <xf numFmtId="14" fontId="11" fillId="2" borderId="4" xfId="0" applyNumberFormat="1" applyFont="1" applyFill="1" applyBorder="1" applyAlignment="1">
      <alignment horizontal="left"/>
    </xf>
    <xf numFmtId="14" fontId="0" fillId="2" borderId="4" xfId="0" applyNumberFormat="1" applyFont="1" applyFill="1" applyBorder="1" applyAlignment="1">
      <alignment horizontal="left"/>
    </xf>
    <xf numFmtId="0" fontId="0" fillId="2" borderId="4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164" fontId="3" fillId="6" borderId="9" xfId="0" applyNumberFormat="1" applyFont="1" applyFill="1" applyBorder="1" applyAlignment="1">
      <alignment horizontal="left" vertical="center"/>
    </xf>
    <xf numFmtId="0" fontId="1" fillId="0" borderId="0" xfId="0" applyFont="1" applyBorder="1" applyAlignment="1">
      <alignment horizontal="left"/>
    </xf>
    <xf numFmtId="165" fontId="0" fillId="2" borderId="0" xfId="0" applyNumberFormat="1" applyFill="1" applyBorder="1" applyAlignment="1">
      <alignment horizontal="center" vertical="center"/>
    </xf>
    <xf numFmtId="165" fontId="2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2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14" fontId="8" fillId="2" borderId="14" xfId="0" applyNumberFormat="1" applyFont="1" applyFill="1" applyBorder="1" applyAlignment="1">
      <alignment horizontal="center"/>
    </xf>
    <xf numFmtId="14" fontId="8" fillId="2" borderId="14" xfId="0" applyNumberFormat="1" applyFont="1" applyFill="1" applyBorder="1" applyAlignment="1">
      <alignment horizontal="left"/>
    </xf>
    <xf numFmtId="0" fontId="8" fillId="2" borderId="14" xfId="0" applyFont="1" applyFill="1" applyBorder="1" applyAlignment="1">
      <alignment horizontal="left" wrapText="1"/>
    </xf>
    <xf numFmtId="0" fontId="8" fillId="2" borderId="14" xfId="0" applyFont="1" applyFill="1" applyBorder="1" applyAlignment="1">
      <alignment horizontal="right"/>
    </xf>
    <xf numFmtId="0" fontId="8" fillId="2" borderId="14" xfId="0" applyFont="1" applyFill="1" applyBorder="1"/>
    <xf numFmtId="166" fontId="8" fillId="2" borderId="14" xfId="0" applyNumberFormat="1" applyFont="1" applyFill="1" applyBorder="1" applyAlignment="1">
      <alignment horizontal="center" vertical="center"/>
    </xf>
    <xf numFmtId="165" fontId="8" fillId="2" borderId="14" xfId="0" applyNumberFormat="1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</cellXfs>
  <cellStyles count="1">
    <cellStyle name="Normal" xfId="0" builtinId="0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_(&quot;RD$&quot;* #,##0.00_);_(&quot;RD$&quot;* \(#,##0.00\);_(&quot;RD$&quot;* &quot;-&quot;??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38100</xdr:rowOff>
    </xdr:from>
    <xdr:to>
      <xdr:col>3</xdr:col>
      <xdr:colOff>647700</xdr:colOff>
      <xdr:row>4</xdr:row>
      <xdr:rowOff>200026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8100"/>
          <a:ext cx="3257550" cy="92392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A8:T796" totalsRowShown="0" tableBorderDxfId="20">
  <autoFilter ref="A8:T796"/>
  <tableColumns count="20">
    <tableColumn id="1" name="No. Orden" dataDxfId="19"/>
    <tableColumn id="2" name="FECHA ULTIMA ENTRADA" dataDxfId="18"/>
    <tableColumn id="3" name="CODIGO DE BIENES NACIONALES ( si aplica)" dataDxfId="17"/>
    <tableColumn id="4" name="PERIODO DE ADQUISICION" dataDxfId="16"/>
    <tableColumn id="20" name="SUPLIDOR" dataDxfId="15"/>
    <tableColumn id="5" name="CODIGO INSTITUCIONAL" dataDxfId="14"/>
    <tableColumn id="6" name="DESCRIPCION DEL ACTIVO O BIEN" dataDxfId="13"/>
    <tableColumn id="7" name="STOCK    FISICO ENERO 2021 " dataDxfId="12"/>
    <tableColumn id="8" name="MOVIMIENTOS POST-TOMA DE MUESTRA" dataDxfId="11"/>
    <tableColumn id="9" name="STOCK    FISICO ENERO 2021" dataDxfId="10">
      <calculatedColumnFormula>+'INVENTARIO ENERO-MARZO 2021'!$H9-'INVENTARIO ENERO-MARZO 2021'!$I9</calculatedColumnFormula>
    </tableColumn>
    <tableColumn id="10" name="ENTRADAS FEBRERO 2021" dataDxfId="9"/>
    <tableColumn id="17" name="ENTRADAS MARZO 2021" dataDxfId="8"/>
    <tableColumn id="11" name="REQUISICIONES FEBRERO 2021" dataDxfId="7"/>
    <tableColumn id="18" name="REQUISICIONES MARZO 2021" dataDxfId="6"/>
    <tableColumn id="16" name="STOCK  FEBRERO 2021" dataDxfId="5">
      <calculatedColumnFormula>+Tabla1[[#This Row],[STOCK    FISICO ENERO 2021]]-Tabla1[[#This Row],[REQUISICIONES FEBRERO 2021]]</calculatedColumnFormula>
    </tableColumn>
    <tableColumn id="19" name="STOCK MARZO " dataDxfId="4">
      <calculatedColumnFormula>+Tabla1[[#This Row],[STOCK  FEBRERO 2021]]-Tabla1[[#This Row],[REQUISICIONES MARZO 2021]]+Tabla1[[#This Row],[ENTRADAS MARZO 2021]]</calculatedColumnFormula>
    </tableColumn>
    <tableColumn id="12" name="UNIDAD DE MEDIDA" dataDxfId="3"/>
    <tableColumn id="13" name="COSTO UNITARIO SIN ITBIS" dataDxfId="2"/>
    <tableColumn id="14" name="COSTO UNITARIO  ITBIS INCLUIDO" dataDxfId="1"/>
    <tableColumn id="15" name="TOTAL GENERAL EN RD$" dataDxfId="0">
      <calculatedColumnFormula>J9*R9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805"/>
  <sheetViews>
    <sheetView showGridLines="0" tabSelected="1" zoomScaleNormal="100" workbookViewId="0">
      <pane ySplit="8" topLeftCell="A786" activePane="bottomLeft" state="frozen"/>
      <selection pane="bottomLeft" activeCell="A5" sqref="A5:Q5"/>
    </sheetView>
  </sheetViews>
  <sheetFormatPr baseColWidth="10" defaultRowHeight="15" x14ac:dyDescent="0.25"/>
  <cols>
    <col min="1" max="1" width="10.85546875" customWidth="1"/>
    <col min="2" max="2" width="17.42578125" customWidth="1"/>
    <col min="3" max="3" width="14.140625" customWidth="1"/>
    <col min="4" max="4" width="16.42578125" customWidth="1"/>
    <col min="5" max="5" width="18" style="28" hidden="1" customWidth="1"/>
    <col min="6" max="6" width="14" customWidth="1"/>
    <col min="7" max="7" width="82.140625" customWidth="1"/>
    <col min="8" max="8" width="15" hidden="1" customWidth="1"/>
    <col min="9" max="9" width="14.140625" hidden="1" customWidth="1"/>
    <col min="10" max="10" width="11.85546875" hidden="1" customWidth="1"/>
    <col min="11" max="12" width="13" hidden="1" customWidth="1"/>
    <col min="13" max="14" width="14.28515625" hidden="1" customWidth="1"/>
    <col min="15" max="15" width="14.28515625" style="9" hidden="1" customWidth="1"/>
    <col min="16" max="16" width="14.28515625" style="9" customWidth="1"/>
    <col min="17" max="17" width="12.7109375" customWidth="1"/>
    <col min="18" max="18" width="16.42578125" customWidth="1"/>
    <col min="19" max="19" width="22.42578125" style="167" customWidth="1"/>
    <col min="20" max="20" width="22.28515625" style="28" customWidth="1"/>
  </cols>
  <sheetData>
    <row r="1" spans="1:22" x14ac:dyDescent="0.25">
      <c r="A1" s="1"/>
      <c r="B1" s="2"/>
      <c r="C1" s="3"/>
      <c r="D1" s="3"/>
      <c r="E1" s="146"/>
      <c r="F1" s="3"/>
      <c r="G1" s="3"/>
      <c r="H1" s="3"/>
      <c r="I1" s="3"/>
      <c r="J1" s="3"/>
      <c r="K1" s="3"/>
      <c r="L1" s="3"/>
      <c r="M1" s="3"/>
      <c r="N1" s="3"/>
      <c r="O1" s="117"/>
      <c r="P1" s="117"/>
      <c r="Q1" s="3"/>
      <c r="R1" s="4"/>
      <c r="S1" s="162"/>
      <c r="T1" s="23"/>
    </row>
    <row r="2" spans="1:22" x14ac:dyDescent="0.2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4"/>
      <c r="S2" s="162"/>
      <c r="T2" s="23"/>
    </row>
    <row r="3" spans="1:22" x14ac:dyDescent="0.25">
      <c r="A3" s="177" t="s">
        <v>777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4"/>
      <c r="S3" s="162"/>
      <c r="T3" s="23"/>
    </row>
    <row r="4" spans="1:22" x14ac:dyDescent="0.25">
      <c r="A4" s="177"/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4"/>
      <c r="S4" s="162"/>
      <c r="T4" s="23"/>
    </row>
    <row r="5" spans="1:22" ht="18" x14ac:dyDescent="0.25">
      <c r="A5" s="177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5"/>
      <c r="S5" s="163"/>
      <c r="T5" s="24"/>
    </row>
    <row r="6" spans="1:22" ht="15" customHeight="1" x14ac:dyDescent="0.25">
      <c r="A6" s="6"/>
      <c r="B6" s="6"/>
      <c r="C6" s="6"/>
      <c r="D6" s="6"/>
      <c r="E6" s="147"/>
      <c r="F6" s="7"/>
      <c r="G6" s="7"/>
      <c r="H6" s="7"/>
      <c r="I6" s="7"/>
      <c r="J6" s="7"/>
      <c r="K6" s="7"/>
      <c r="L6" s="7"/>
      <c r="M6" s="7"/>
      <c r="N6" s="7"/>
      <c r="O6" s="8"/>
      <c r="P6" s="8"/>
      <c r="Q6" s="7"/>
      <c r="R6" s="8"/>
      <c r="S6" s="164"/>
      <c r="T6" s="25"/>
    </row>
    <row r="7" spans="1:22" ht="16.5" thickBot="1" x14ac:dyDescent="0.3">
      <c r="A7" s="178" t="s">
        <v>840</v>
      </c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</row>
    <row r="8" spans="1:22" ht="55.5" customHeight="1" x14ac:dyDescent="0.25">
      <c r="A8" s="104" t="s">
        <v>0</v>
      </c>
      <c r="B8" s="105" t="s">
        <v>1</v>
      </c>
      <c r="C8" s="106" t="s">
        <v>2</v>
      </c>
      <c r="D8" s="106" t="s">
        <v>3</v>
      </c>
      <c r="E8" s="106" t="s">
        <v>786</v>
      </c>
      <c r="F8" s="106" t="s">
        <v>4</v>
      </c>
      <c r="G8" s="106" t="s">
        <v>5</v>
      </c>
      <c r="H8" s="106" t="s">
        <v>756</v>
      </c>
      <c r="I8" s="114" t="s">
        <v>758</v>
      </c>
      <c r="J8" s="114" t="s">
        <v>759</v>
      </c>
      <c r="K8" s="114" t="s">
        <v>760</v>
      </c>
      <c r="L8" s="114" t="s">
        <v>780</v>
      </c>
      <c r="M8" s="106" t="s">
        <v>761</v>
      </c>
      <c r="N8" s="116" t="s">
        <v>781</v>
      </c>
      <c r="O8" s="114" t="s">
        <v>782</v>
      </c>
      <c r="P8" s="114" t="s">
        <v>841</v>
      </c>
      <c r="Q8" s="106" t="s">
        <v>6</v>
      </c>
      <c r="R8" s="107" t="s">
        <v>7</v>
      </c>
      <c r="S8" s="107" t="s">
        <v>8</v>
      </c>
      <c r="T8" s="108" t="s">
        <v>9</v>
      </c>
      <c r="V8" s="22"/>
    </row>
    <row r="9" spans="1:22" ht="15" customHeight="1" x14ac:dyDescent="0.25">
      <c r="A9" s="95" t="s">
        <v>10</v>
      </c>
      <c r="B9" s="30"/>
      <c r="C9" s="30"/>
      <c r="D9" s="30"/>
      <c r="E9" s="99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99"/>
    </row>
    <row r="10" spans="1:22" s="9" customFormat="1" x14ac:dyDescent="0.25">
      <c r="A10" s="96">
        <v>1</v>
      </c>
      <c r="B10" s="32"/>
      <c r="C10" s="29" t="s">
        <v>11</v>
      </c>
      <c r="D10" s="32"/>
      <c r="E10" s="148"/>
      <c r="F10" s="29"/>
      <c r="G10" s="33" t="s">
        <v>13</v>
      </c>
      <c r="H10" s="34">
        <v>34</v>
      </c>
      <c r="I10" s="34"/>
      <c r="J10" s="34">
        <f>+'INVENTARIO ENERO-MARZO 2021'!$H10-'INVENTARIO ENERO-MARZO 2021'!$I10</f>
        <v>34</v>
      </c>
      <c r="K10" s="34"/>
      <c r="L10" s="34"/>
      <c r="M10" s="34"/>
      <c r="N10" s="34">
        <v>1</v>
      </c>
      <c r="O10" s="34">
        <f>+Tabla1[[#This Row],[STOCK    FISICO ENERO 2021]]-Tabla1[[#This Row],[REQUISICIONES FEBRERO 2021]]</f>
        <v>34</v>
      </c>
      <c r="P10" s="34">
        <f>+Tabla1[[#This Row],[STOCK  FEBRERO 2021]]-Tabla1[[#This Row],[REQUISICIONES MARZO 2021]]+Tabla1[[#This Row],[ENTRADAS MARZO 2021]]</f>
        <v>33</v>
      </c>
      <c r="Q10" s="31" t="s">
        <v>12</v>
      </c>
      <c r="R10" s="35">
        <v>0</v>
      </c>
      <c r="S10" s="36">
        <v>0</v>
      </c>
      <c r="T10" s="100">
        <f>Tabla1[[#This Row],[STOCK MARZO ]]*Tabla1[[#This Row],[COSTO UNITARIO SIN ITBIS]]</f>
        <v>0</v>
      </c>
    </row>
    <row r="11" spans="1:22" s="9" customFormat="1" x14ac:dyDescent="0.25">
      <c r="A11" s="96">
        <v>2</v>
      </c>
      <c r="B11" s="32">
        <v>43671</v>
      </c>
      <c r="C11" s="29" t="s">
        <v>11</v>
      </c>
      <c r="D11" s="32">
        <v>43671</v>
      </c>
      <c r="E11" s="148"/>
      <c r="F11" s="29">
        <v>1392</v>
      </c>
      <c r="G11" s="33" t="s">
        <v>14</v>
      </c>
      <c r="H11" s="34">
        <v>15</v>
      </c>
      <c r="I11" s="34"/>
      <c r="J11" s="34">
        <f>+'INVENTARIO ENERO-MARZO 2021'!$H11-'INVENTARIO ENERO-MARZO 2021'!$I11</f>
        <v>15</v>
      </c>
      <c r="K11" s="34"/>
      <c r="L11" s="34"/>
      <c r="M11" s="34">
        <v>2</v>
      </c>
      <c r="N11" s="34">
        <v>1</v>
      </c>
      <c r="O11" s="34">
        <f>+Tabla1[[#This Row],[STOCK    FISICO ENERO 2021]]-Tabla1[[#This Row],[REQUISICIONES FEBRERO 2021]]</f>
        <v>13</v>
      </c>
      <c r="P11" s="34">
        <f>+Tabla1[[#This Row],[STOCK  FEBRERO 2021]]-Tabla1[[#This Row],[REQUISICIONES MARZO 2021]]+Tabla1[[#This Row],[ENTRADAS MARZO 2021]]</f>
        <v>12</v>
      </c>
      <c r="Q11" s="31" t="s">
        <v>12</v>
      </c>
      <c r="R11" s="35">
        <v>183.25</v>
      </c>
      <c r="S11" s="36">
        <f t="shared" ref="S11:S55" si="0">R11*0.18+R11</f>
        <v>216.23500000000001</v>
      </c>
      <c r="T11" s="100">
        <f>Tabla1[[#This Row],[STOCK MARZO ]]*Tabla1[[#This Row],[COSTO UNITARIO SIN ITBIS]]</f>
        <v>2199</v>
      </c>
    </row>
    <row r="12" spans="1:22" s="9" customFormat="1" x14ac:dyDescent="0.25">
      <c r="A12" s="96">
        <v>3</v>
      </c>
      <c r="B12" s="127">
        <v>44285</v>
      </c>
      <c r="C12" s="29" t="s">
        <v>11</v>
      </c>
      <c r="D12" s="127">
        <v>44285</v>
      </c>
      <c r="E12" s="149" t="s">
        <v>797</v>
      </c>
      <c r="F12" s="129"/>
      <c r="G12" s="130" t="s">
        <v>796</v>
      </c>
      <c r="H12" s="131"/>
      <c r="I12" s="131"/>
      <c r="J12" s="131">
        <f>+'INVENTARIO ENERO-MARZO 2021'!$H12-'INVENTARIO ENERO-MARZO 2021'!$I12</f>
        <v>0</v>
      </c>
      <c r="K12" s="131"/>
      <c r="L12" s="131">
        <v>65</v>
      </c>
      <c r="M12" s="131"/>
      <c r="N12" s="131">
        <v>4</v>
      </c>
      <c r="O12" s="132">
        <f>+Tabla1[[#This Row],[STOCK    FISICO ENERO 2021]]-Tabla1[[#This Row],[REQUISICIONES FEBRERO 2021]]</f>
        <v>0</v>
      </c>
      <c r="P12" s="132">
        <f>+Tabla1[[#This Row],[STOCK  FEBRERO 2021]]-Tabla1[[#This Row],[REQUISICIONES MARZO 2021]]+Tabla1[[#This Row],[ENTRADAS MARZO 2021]]</f>
        <v>61</v>
      </c>
      <c r="Q12" s="31" t="s">
        <v>12</v>
      </c>
      <c r="R12" s="133">
        <v>282</v>
      </c>
      <c r="S12" s="36">
        <f t="shared" si="0"/>
        <v>332.76</v>
      </c>
      <c r="T12" s="100">
        <f>Tabla1[[#This Row],[STOCK MARZO ]]*Tabla1[[#This Row],[COSTO UNITARIO SIN ITBIS]]</f>
        <v>17202</v>
      </c>
    </row>
    <row r="13" spans="1:22" s="9" customFormat="1" x14ac:dyDescent="0.25">
      <c r="A13" s="96">
        <v>4</v>
      </c>
      <c r="B13" s="127">
        <v>44285</v>
      </c>
      <c r="C13" s="29" t="s">
        <v>11</v>
      </c>
      <c r="D13" s="127">
        <v>44285</v>
      </c>
      <c r="E13" s="149" t="s">
        <v>797</v>
      </c>
      <c r="F13" s="129"/>
      <c r="G13" s="130" t="s">
        <v>798</v>
      </c>
      <c r="H13" s="131"/>
      <c r="I13" s="131"/>
      <c r="J13" s="131">
        <f>+'INVENTARIO ENERO-MARZO 2021'!$H13-'INVENTARIO ENERO-MARZO 2021'!$I13</f>
        <v>0</v>
      </c>
      <c r="K13" s="131"/>
      <c r="L13" s="131">
        <v>40</v>
      </c>
      <c r="M13" s="131"/>
      <c r="N13" s="131"/>
      <c r="O13" s="132">
        <f>+Tabla1[[#This Row],[STOCK    FISICO ENERO 2021]]-Tabla1[[#This Row],[REQUISICIONES FEBRERO 2021]]</f>
        <v>0</v>
      </c>
      <c r="P13" s="132">
        <f>+Tabla1[[#This Row],[STOCK  FEBRERO 2021]]-Tabla1[[#This Row],[REQUISICIONES MARZO 2021]]+Tabla1[[#This Row],[ENTRADAS MARZO 2021]]</f>
        <v>40</v>
      </c>
      <c r="Q13" s="31" t="s">
        <v>12</v>
      </c>
      <c r="R13" s="133">
        <v>376</v>
      </c>
      <c r="S13" s="36">
        <f t="shared" si="0"/>
        <v>443.68</v>
      </c>
      <c r="T13" s="100">
        <f>Tabla1[[#This Row],[STOCK MARZO ]]*Tabla1[[#This Row],[COSTO UNITARIO SIN ITBIS]]</f>
        <v>15040</v>
      </c>
    </row>
    <row r="14" spans="1:22" s="9" customFormat="1" x14ac:dyDescent="0.25">
      <c r="A14" s="96">
        <v>5</v>
      </c>
      <c r="B14" s="32">
        <v>43671</v>
      </c>
      <c r="C14" s="29" t="s">
        <v>11</v>
      </c>
      <c r="D14" s="32">
        <v>43671</v>
      </c>
      <c r="E14" s="148"/>
      <c r="F14" s="29">
        <v>1382</v>
      </c>
      <c r="G14" s="33" t="s">
        <v>16</v>
      </c>
      <c r="H14" s="34">
        <v>211</v>
      </c>
      <c r="I14" s="34">
        <v>2</v>
      </c>
      <c r="J14" s="34">
        <f>+'INVENTARIO ENERO-MARZO 2021'!$H14-'INVENTARIO ENERO-MARZO 2021'!$I14</f>
        <v>209</v>
      </c>
      <c r="K14" s="34"/>
      <c r="L14" s="34"/>
      <c r="M14" s="34">
        <f>5+1</f>
        <v>6</v>
      </c>
      <c r="N14" s="34">
        <f>4+3</f>
        <v>7</v>
      </c>
      <c r="O14" s="34">
        <f>+Tabla1[[#This Row],[STOCK    FISICO ENERO 2021]]-Tabla1[[#This Row],[REQUISICIONES FEBRERO 2021]]</f>
        <v>203</v>
      </c>
      <c r="P14" s="34">
        <f>+Tabla1[[#This Row],[STOCK  FEBRERO 2021]]-Tabla1[[#This Row],[REQUISICIONES MARZO 2021]]+Tabla1[[#This Row],[ENTRADAS MARZO 2021]]</f>
        <v>196</v>
      </c>
      <c r="Q14" s="31" t="s">
        <v>12</v>
      </c>
      <c r="R14" s="35">
        <v>3.22</v>
      </c>
      <c r="S14" s="36">
        <f t="shared" si="0"/>
        <v>3.7996000000000003</v>
      </c>
      <c r="T14" s="100">
        <f>Tabla1[[#This Row],[STOCK MARZO ]]*Tabla1[[#This Row],[COSTO UNITARIO SIN ITBIS]]</f>
        <v>631.12</v>
      </c>
    </row>
    <row r="15" spans="1:22" s="9" customFormat="1" x14ac:dyDescent="0.25">
      <c r="A15" s="96">
        <v>6</v>
      </c>
      <c r="B15" s="127">
        <v>44285</v>
      </c>
      <c r="C15" s="29" t="s">
        <v>11</v>
      </c>
      <c r="D15" s="127">
        <v>44285</v>
      </c>
      <c r="E15" s="149" t="s">
        <v>797</v>
      </c>
      <c r="F15" s="129"/>
      <c r="G15" s="33" t="s">
        <v>795</v>
      </c>
      <c r="H15" s="131"/>
      <c r="I15" s="131"/>
      <c r="J15" s="131">
        <f>+'INVENTARIO ENERO-MARZO 2021'!$H15-'INVENTARIO ENERO-MARZO 2021'!$I15</f>
        <v>0</v>
      </c>
      <c r="K15" s="131"/>
      <c r="L15" s="131">
        <v>50</v>
      </c>
      <c r="M15" s="131"/>
      <c r="N15" s="131"/>
      <c r="O15" s="132">
        <f>+Tabla1[[#This Row],[STOCK    FISICO ENERO 2021]]-Tabla1[[#This Row],[REQUISICIONES FEBRERO 2021]]</f>
        <v>0</v>
      </c>
      <c r="P15" s="132">
        <f>+Tabla1[[#This Row],[STOCK  FEBRERO 2021]]-Tabla1[[#This Row],[REQUISICIONES MARZO 2021]]+Tabla1[[#This Row],[ENTRADAS MARZO 2021]]</f>
        <v>50</v>
      </c>
      <c r="Q15" s="31" t="s">
        <v>12</v>
      </c>
      <c r="R15" s="133">
        <v>5.5</v>
      </c>
      <c r="S15" s="100">
        <f t="shared" si="0"/>
        <v>6.49</v>
      </c>
      <c r="T15" s="100">
        <f>Tabla1[[#This Row],[STOCK MARZO ]]*Tabla1[[#This Row],[COSTO UNITARIO SIN ITBIS]]</f>
        <v>275</v>
      </c>
    </row>
    <row r="16" spans="1:22" s="9" customFormat="1" x14ac:dyDescent="0.25">
      <c r="A16" s="96">
        <v>7</v>
      </c>
      <c r="B16" s="32">
        <v>43440</v>
      </c>
      <c r="C16" s="29" t="s">
        <v>11</v>
      </c>
      <c r="D16" s="32">
        <v>43440</v>
      </c>
      <c r="E16" s="148"/>
      <c r="F16" s="29">
        <v>1414</v>
      </c>
      <c r="G16" s="33" t="s">
        <v>17</v>
      </c>
      <c r="H16" s="34">
        <v>2</v>
      </c>
      <c r="I16" s="34"/>
      <c r="J16" s="34">
        <f>+'INVENTARIO ENERO-MARZO 2021'!$H16-'INVENTARIO ENERO-MARZO 2021'!$I16</f>
        <v>2</v>
      </c>
      <c r="K16" s="34"/>
      <c r="L16" s="34"/>
      <c r="M16" s="34"/>
      <c r="N16" s="34"/>
      <c r="O16" s="34">
        <f>+Tabla1[[#This Row],[STOCK    FISICO ENERO 2021]]-Tabla1[[#This Row],[REQUISICIONES FEBRERO 2021]]</f>
        <v>2</v>
      </c>
      <c r="P16" s="34">
        <f>+Tabla1[[#This Row],[STOCK  FEBRERO 2021]]-Tabla1[[#This Row],[REQUISICIONES MARZO 2021]]+Tabla1[[#This Row],[ENTRADAS MARZO 2021]]</f>
        <v>2</v>
      </c>
      <c r="Q16" s="31" t="s">
        <v>12</v>
      </c>
      <c r="R16" s="35">
        <v>27.08</v>
      </c>
      <c r="S16" s="36">
        <f t="shared" si="0"/>
        <v>31.9544</v>
      </c>
      <c r="T16" s="100">
        <f>Tabla1[[#This Row],[STOCK MARZO ]]*Tabla1[[#This Row],[COSTO UNITARIO SIN ITBIS]]</f>
        <v>54.16</v>
      </c>
    </row>
    <row r="17" spans="1:20" s="9" customFormat="1" ht="24.75" x14ac:dyDescent="0.25">
      <c r="A17" s="96">
        <v>8</v>
      </c>
      <c r="B17" s="32">
        <v>43440</v>
      </c>
      <c r="C17" s="29" t="s">
        <v>11</v>
      </c>
      <c r="D17" s="32">
        <v>43440</v>
      </c>
      <c r="E17" s="148"/>
      <c r="F17" s="29">
        <v>1360</v>
      </c>
      <c r="G17" s="33" t="s">
        <v>18</v>
      </c>
      <c r="H17" s="113">
        <f>89+1875</f>
        <v>1964</v>
      </c>
      <c r="I17" s="113">
        <v>8</v>
      </c>
      <c r="J17" s="113">
        <f>+'INVENTARIO ENERO-MARZO 2021'!$H17-'INVENTARIO ENERO-MARZO 2021'!$I17</f>
        <v>1956</v>
      </c>
      <c r="K17" s="113"/>
      <c r="L17" s="113"/>
      <c r="M17" s="113">
        <f>30+6+10+10+10</f>
        <v>66</v>
      </c>
      <c r="N17" s="113">
        <f>15+5</f>
        <v>20</v>
      </c>
      <c r="O17" s="113">
        <f>+Tabla1[[#This Row],[STOCK    FISICO ENERO 2021]]-Tabla1[[#This Row],[REQUISICIONES FEBRERO 2021]]</f>
        <v>1890</v>
      </c>
      <c r="P17" s="113">
        <f>+Tabla1[[#This Row],[STOCK  FEBRERO 2021]]-Tabla1[[#This Row],[REQUISICIONES MARZO 2021]]+Tabla1[[#This Row],[ENTRADAS MARZO 2021]]</f>
        <v>1870</v>
      </c>
      <c r="Q17" s="34" t="s">
        <v>12</v>
      </c>
      <c r="R17" s="35">
        <v>64.900000000000006</v>
      </c>
      <c r="S17" s="40">
        <f t="shared" si="0"/>
        <v>76.582000000000008</v>
      </c>
      <c r="T17" s="100">
        <f>Tabla1[[#This Row],[STOCK MARZO ]]*Tabla1[[#This Row],[COSTO UNITARIO SIN ITBIS]]</f>
        <v>121363.00000000001</v>
      </c>
    </row>
    <row r="18" spans="1:20" s="9" customFormat="1" x14ac:dyDescent="0.25">
      <c r="A18" s="96">
        <v>9</v>
      </c>
      <c r="B18" s="127">
        <v>44286</v>
      </c>
      <c r="C18" s="29" t="s">
        <v>11</v>
      </c>
      <c r="D18" s="127">
        <v>44286</v>
      </c>
      <c r="E18" s="149" t="s">
        <v>827</v>
      </c>
      <c r="F18" s="129"/>
      <c r="G18" s="130" t="s">
        <v>830</v>
      </c>
      <c r="H18" s="137"/>
      <c r="I18" s="137"/>
      <c r="J18" s="137">
        <f>+'INVENTARIO ENERO-MARZO 2021'!$H18-'INVENTARIO ENERO-MARZO 2021'!$I18</f>
        <v>0</v>
      </c>
      <c r="K18" s="137"/>
      <c r="L18" s="137">
        <v>150</v>
      </c>
      <c r="M18" s="137"/>
      <c r="N18" s="137"/>
      <c r="O18" s="132">
        <f>+Tabla1[[#This Row],[STOCK    FISICO ENERO 2021]]-Tabla1[[#This Row],[REQUISICIONES FEBRERO 2021]]</f>
        <v>0</v>
      </c>
      <c r="P18" s="132">
        <f>+Tabla1[[#This Row],[STOCK  FEBRERO 2021]]-Tabla1[[#This Row],[REQUISICIONES MARZO 2021]]+Tabla1[[#This Row],[ENTRADAS MARZO 2021]]</f>
        <v>150</v>
      </c>
      <c r="Q18" s="34" t="s">
        <v>12</v>
      </c>
      <c r="R18" s="133">
        <v>120</v>
      </c>
      <c r="S18" s="101">
        <f t="shared" si="0"/>
        <v>141.6</v>
      </c>
      <c r="T18" s="100">
        <f>Tabla1[[#This Row],[STOCK MARZO ]]*Tabla1[[#This Row],[COSTO UNITARIO SIN ITBIS]]</f>
        <v>18000</v>
      </c>
    </row>
    <row r="19" spans="1:20" s="9" customFormat="1" x14ac:dyDescent="0.25">
      <c r="A19" s="96">
        <v>10</v>
      </c>
      <c r="B19" s="32">
        <v>43664</v>
      </c>
      <c r="C19" s="29" t="s">
        <v>11</v>
      </c>
      <c r="D19" s="32">
        <v>43767</v>
      </c>
      <c r="E19" s="148"/>
      <c r="F19" s="29">
        <v>1502</v>
      </c>
      <c r="G19" s="41" t="s">
        <v>19</v>
      </c>
      <c r="H19" s="41"/>
      <c r="I19" s="41"/>
      <c r="J19" s="41">
        <f>+'INVENTARIO ENERO-MARZO 2021'!$H19-'INVENTARIO ENERO-MARZO 2021'!$I19</f>
        <v>0</v>
      </c>
      <c r="K19" s="41"/>
      <c r="L19" s="41"/>
      <c r="M19" s="41"/>
      <c r="N19" s="41"/>
      <c r="O19" s="41">
        <f>+Tabla1[[#This Row],[STOCK    FISICO ENERO 2021]]-Tabla1[[#This Row],[REQUISICIONES FEBRERO 2021]]</f>
        <v>0</v>
      </c>
      <c r="P19" s="41">
        <f>+Tabla1[[#This Row],[STOCK  FEBRERO 2021]]-Tabla1[[#This Row],[REQUISICIONES MARZO 2021]]+Tabla1[[#This Row],[ENTRADAS MARZO 2021]]</f>
        <v>0</v>
      </c>
      <c r="Q19" s="41" t="s">
        <v>20</v>
      </c>
      <c r="R19" s="42">
        <v>12</v>
      </c>
      <c r="S19" s="36">
        <f t="shared" si="0"/>
        <v>14.16</v>
      </c>
      <c r="T19" s="100">
        <f>Tabla1[[#This Row],[STOCK MARZO ]]*Tabla1[[#This Row],[COSTO UNITARIO SIN ITBIS]]</f>
        <v>0</v>
      </c>
    </row>
    <row r="20" spans="1:20" s="9" customFormat="1" x14ac:dyDescent="0.25">
      <c r="A20" s="96">
        <v>11</v>
      </c>
      <c r="B20" s="43">
        <v>43440</v>
      </c>
      <c r="C20" s="42" t="s">
        <v>11</v>
      </c>
      <c r="D20" s="43">
        <v>43440</v>
      </c>
      <c r="E20" s="150"/>
      <c r="F20" s="44">
        <v>1043</v>
      </c>
      <c r="G20" s="41" t="s">
        <v>21</v>
      </c>
      <c r="H20" s="41">
        <v>84</v>
      </c>
      <c r="I20" s="41"/>
      <c r="J20" s="41">
        <f>+'INVENTARIO ENERO-MARZO 2021'!$H20-'INVENTARIO ENERO-MARZO 2021'!$I20</f>
        <v>84</v>
      </c>
      <c r="K20" s="41"/>
      <c r="L20" s="41"/>
      <c r="M20" s="41"/>
      <c r="N20" s="41"/>
      <c r="O20" s="41">
        <f>+Tabla1[[#This Row],[STOCK    FISICO ENERO 2021]]-Tabla1[[#This Row],[REQUISICIONES FEBRERO 2021]]</f>
        <v>84</v>
      </c>
      <c r="P20" s="41">
        <f>+Tabla1[[#This Row],[STOCK  FEBRERO 2021]]-Tabla1[[#This Row],[REQUISICIONES MARZO 2021]]+Tabla1[[#This Row],[ENTRADAS MARZO 2021]]</f>
        <v>84</v>
      </c>
      <c r="Q20" s="31" t="s">
        <v>12</v>
      </c>
      <c r="R20" s="42">
        <v>265.5</v>
      </c>
      <c r="S20" s="36">
        <f t="shared" si="0"/>
        <v>313.29000000000002</v>
      </c>
      <c r="T20" s="100">
        <f>Tabla1[[#This Row],[STOCK MARZO ]]*Tabla1[[#This Row],[COSTO UNITARIO SIN ITBIS]]</f>
        <v>22302</v>
      </c>
    </row>
    <row r="21" spans="1:20" s="13" customFormat="1" x14ac:dyDescent="0.25">
      <c r="A21" s="96">
        <v>12</v>
      </c>
      <c r="B21" s="32">
        <v>43336</v>
      </c>
      <c r="C21" s="29" t="s">
        <v>11</v>
      </c>
      <c r="D21" s="32">
        <v>43336</v>
      </c>
      <c r="E21" s="148"/>
      <c r="F21" s="29">
        <v>1403</v>
      </c>
      <c r="G21" s="33" t="s">
        <v>22</v>
      </c>
      <c r="H21" s="34">
        <v>4</v>
      </c>
      <c r="I21" s="34"/>
      <c r="J21" s="34">
        <f>+'INVENTARIO ENERO-MARZO 2021'!$H21-'INVENTARIO ENERO-MARZO 2021'!$I21</f>
        <v>4</v>
      </c>
      <c r="K21" s="34"/>
      <c r="L21" s="34"/>
      <c r="M21" s="34">
        <v>1</v>
      </c>
      <c r="N21" s="34">
        <v>1</v>
      </c>
      <c r="O21" s="34">
        <f>+Tabla1[[#This Row],[STOCK    FISICO ENERO 2021]]-Tabla1[[#This Row],[REQUISICIONES FEBRERO 2021]]</f>
        <v>3</v>
      </c>
      <c r="P21" s="34">
        <f>+Tabla1[[#This Row],[STOCK  FEBRERO 2021]]-Tabla1[[#This Row],[REQUISICIONES MARZO 2021]]+Tabla1[[#This Row],[ENTRADAS MARZO 2021]]</f>
        <v>2</v>
      </c>
      <c r="Q21" s="31" t="s">
        <v>12</v>
      </c>
      <c r="R21" s="35">
        <v>4409.99</v>
      </c>
      <c r="S21" s="36">
        <f t="shared" si="0"/>
        <v>5203.7882</v>
      </c>
      <c r="T21" s="100">
        <f>Tabla1[[#This Row],[STOCK MARZO ]]*Tabla1[[#This Row],[COSTO UNITARIO SIN ITBIS]]</f>
        <v>8819.98</v>
      </c>
    </row>
    <row r="22" spans="1:20" s="9" customFormat="1" x14ac:dyDescent="0.25">
      <c r="A22" s="96">
        <v>13</v>
      </c>
      <c r="B22" s="32">
        <v>44109</v>
      </c>
      <c r="C22" s="29" t="s">
        <v>11</v>
      </c>
      <c r="D22" s="32">
        <v>44109</v>
      </c>
      <c r="E22" s="148"/>
      <c r="F22" s="45" t="s">
        <v>23</v>
      </c>
      <c r="G22" s="33" t="s">
        <v>24</v>
      </c>
      <c r="H22" s="34">
        <v>1</v>
      </c>
      <c r="I22" s="34"/>
      <c r="J22" s="34">
        <f>+'INVENTARIO ENERO-MARZO 2021'!$H22-'INVENTARIO ENERO-MARZO 2021'!$I22</f>
        <v>1</v>
      </c>
      <c r="K22" s="34"/>
      <c r="L22" s="34"/>
      <c r="M22" s="34"/>
      <c r="N22" s="34"/>
      <c r="O22" s="34">
        <f>+Tabla1[[#This Row],[STOCK    FISICO ENERO 2021]]-Tabla1[[#This Row],[REQUISICIONES FEBRERO 2021]]</f>
        <v>1</v>
      </c>
      <c r="P22" s="34">
        <f>+Tabla1[[#This Row],[STOCK  FEBRERO 2021]]-Tabla1[[#This Row],[REQUISICIONES MARZO 2021]]+Tabla1[[#This Row],[ENTRADAS MARZO 2021]]</f>
        <v>1</v>
      </c>
      <c r="Q22" s="31" t="s">
        <v>12</v>
      </c>
      <c r="R22" s="46">
        <v>0</v>
      </c>
      <c r="S22" s="36">
        <f t="shared" si="0"/>
        <v>0</v>
      </c>
      <c r="T22" s="100">
        <f>Tabla1[[#This Row],[STOCK MARZO ]]*Tabla1[[#This Row],[COSTO UNITARIO SIN ITBIS]]</f>
        <v>0</v>
      </c>
    </row>
    <row r="23" spans="1:20" s="9" customFormat="1" x14ac:dyDescent="0.25">
      <c r="A23" s="96">
        <v>14</v>
      </c>
      <c r="B23" s="32">
        <v>43440</v>
      </c>
      <c r="C23" s="29" t="s">
        <v>11</v>
      </c>
      <c r="D23" s="32">
        <v>44075</v>
      </c>
      <c r="E23" s="148"/>
      <c r="F23" s="29">
        <v>1390</v>
      </c>
      <c r="G23" s="48" t="s">
        <v>25</v>
      </c>
      <c r="H23" s="47">
        <v>300</v>
      </c>
      <c r="I23" s="47">
        <v>50</v>
      </c>
      <c r="J23" s="47">
        <f>+'INVENTARIO ENERO-MARZO 2021'!$H23-'INVENTARIO ENERO-MARZO 2021'!$I23</f>
        <v>250</v>
      </c>
      <c r="K23" s="47"/>
      <c r="L23" s="47"/>
      <c r="M23" s="47">
        <f>25+25</f>
        <v>50</v>
      </c>
      <c r="N23" s="47"/>
      <c r="O23" s="47">
        <f>+Tabla1[[#This Row],[STOCK    FISICO ENERO 2021]]-Tabla1[[#This Row],[REQUISICIONES FEBRERO 2021]]</f>
        <v>200</v>
      </c>
      <c r="P23" s="47">
        <f>+Tabla1[[#This Row],[STOCK  FEBRERO 2021]]-Tabla1[[#This Row],[REQUISICIONES MARZO 2021]]+Tabla1[[#This Row],[ENTRADAS MARZO 2021]]</f>
        <v>200</v>
      </c>
      <c r="Q23" s="49" t="s">
        <v>12</v>
      </c>
      <c r="R23" s="35">
        <v>12.56</v>
      </c>
      <c r="S23" s="40">
        <f t="shared" si="0"/>
        <v>14.8208</v>
      </c>
      <c r="T23" s="100">
        <f>Tabla1[[#This Row],[STOCK MARZO ]]*Tabla1[[#This Row],[COSTO UNITARIO SIN ITBIS]]</f>
        <v>2512</v>
      </c>
    </row>
    <row r="24" spans="1:20" s="9" customFormat="1" x14ac:dyDescent="0.25">
      <c r="A24" s="96">
        <v>15</v>
      </c>
      <c r="B24" s="127">
        <v>44286</v>
      </c>
      <c r="C24" s="29" t="s">
        <v>11</v>
      </c>
      <c r="D24" s="127">
        <v>44286</v>
      </c>
      <c r="E24" s="149" t="s">
        <v>827</v>
      </c>
      <c r="F24" s="129"/>
      <c r="G24" s="48" t="s">
        <v>829</v>
      </c>
      <c r="H24" s="137"/>
      <c r="I24" s="137"/>
      <c r="J24" s="137">
        <f>+'INVENTARIO ENERO-MARZO 2021'!$H24-'INVENTARIO ENERO-MARZO 2021'!$I24</f>
        <v>0</v>
      </c>
      <c r="K24" s="137"/>
      <c r="L24" s="137">
        <f>4*25</f>
        <v>100</v>
      </c>
      <c r="M24" s="137"/>
      <c r="N24" s="137"/>
      <c r="O24" s="132">
        <f>+Tabla1[[#This Row],[STOCK    FISICO ENERO 2021]]-Tabla1[[#This Row],[REQUISICIONES FEBRERO 2021]]</f>
        <v>0</v>
      </c>
      <c r="P24" s="132">
        <f>+Tabla1[[#This Row],[STOCK  FEBRERO 2021]]-Tabla1[[#This Row],[REQUISICIONES MARZO 2021]]+Tabla1[[#This Row],[ENTRADAS MARZO 2021]]</f>
        <v>100</v>
      </c>
      <c r="Q24" s="49" t="s">
        <v>12</v>
      </c>
      <c r="R24" s="133">
        <v>16</v>
      </c>
      <c r="S24" s="101">
        <f t="shared" si="0"/>
        <v>18.88</v>
      </c>
      <c r="T24" s="100">
        <f>Tabla1[[#This Row],[STOCK MARZO ]]*Tabla1[[#This Row],[COSTO UNITARIO SIN ITBIS]]</f>
        <v>1600</v>
      </c>
    </row>
    <row r="25" spans="1:20" s="9" customFormat="1" x14ac:dyDescent="0.25">
      <c r="A25" s="96">
        <v>16</v>
      </c>
      <c r="B25" s="32">
        <v>43724</v>
      </c>
      <c r="C25" s="29" t="s">
        <v>11</v>
      </c>
      <c r="D25" s="32">
        <v>43724</v>
      </c>
      <c r="E25" s="148"/>
      <c r="F25" s="29">
        <v>1389</v>
      </c>
      <c r="G25" s="33" t="s">
        <v>755</v>
      </c>
      <c r="H25" s="47">
        <v>500</v>
      </c>
      <c r="I25" s="47"/>
      <c r="J25" s="47">
        <f>+'INVENTARIO ENERO-MARZO 2021'!$H25-'INVENTARIO ENERO-MARZO 2021'!$I25</f>
        <v>500</v>
      </c>
      <c r="K25" s="47"/>
      <c r="L25" s="47"/>
      <c r="M25" s="47">
        <v>75</v>
      </c>
      <c r="N25" s="47">
        <v>50</v>
      </c>
      <c r="O25" s="47">
        <f>+Tabla1[[#This Row],[STOCK    FISICO ENERO 2021]]-Tabla1[[#This Row],[REQUISICIONES FEBRERO 2021]]</f>
        <v>425</v>
      </c>
      <c r="P25" s="47">
        <f>+Tabla1[[#This Row],[STOCK  FEBRERO 2021]]-Tabla1[[#This Row],[REQUISICIONES MARZO 2021]]+Tabla1[[#This Row],[ENTRADAS MARZO 2021]]</f>
        <v>375</v>
      </c>
      <c r="Q25" s="41" t="s">
        <v>12</v>
      </c>
      <c r="R25" s="35">
        <v>10.6</v>
      </c>
      <c r="S25" s="36">
        <f t="shared" si="0"/>
        <v>12.507999999999999</v>
      </c>
      <c r="T25" s="100">
        <f>Tabla1[[#This Row],[STOCK MARZO ]]*Tabla1[[#This Row],[COSTO UNITARIO SIN ITBIS]]</f>
        <v>3975</v>
      </c>
    </row>
    <row r="26" spans="1:20" s="9" customFormat="1" x14ac:dyDescent="0.25">
      <c r="A26" s="96">
        <v>17</v>
      </c>
      <c r="B26" s="127">
        <v>44286</v>
      </c>
      <c r="C26" s="29" t="s">
        <v>11</v>
      </c>
      <c r="D26" s="127">
        <v>44286</v>
      </c>
      <c r="E26" s="149" t="s">
        <v>827</v>
      </c>
      <c r="F26" s="129"/>
      <c r="G26" s="33" t="s">
        <v>755</v>
      </c>
      <c r="H26" s="137"/>
      <c r="I26" s="137"/>
      <c r="J26" s="137">
        <f>+'INVENTARIO ENERO-MARZO 2021'!$H26-'INVENTARIO ENERO-MARZO 2021'!$I26</f>
        <v>0</v>
      </c>
      <c r="K26" s="137"/>
      <c r="L26" s="137">
        <f>10*25</f>
        <v>250</v>
      </c>
      <c r="M26" s="137"/>
      <c r="N26" s="137"/>
      <c r="O26" s="132">
        <f>+Tabla1[[#This Row],[STOCK    FISICO ENERO 2021]]-Tabla1[[#This Row],[REQUISICIONES FEBRERO 2021]]</f>
        <v>0</v>
      </c>
      <c r="P26" s="132">
        <f>+Tabla1[[#This Row],[STOCK  FEBRERO 2021]]-Tabla1[[#This Row],[REQUISICIONES MARZO 2021]]+Tabla1[[#This Row],[ENTRADAS MARZO 2021]]</f>
        <v>250</v>
      </c>
      <c r="Q26" s="41" t="s">
        <v>12</v>
      </c>
      <c r="R26" s="133">
        <v>12</v>
      </c>
      <c r="S26" s="100">
        <f t="shared" si="0"/>
        <v>14.16</v>
      </c>
      <c r="T26" s="100">
        <f>Tabla1[[#This Row],[STOCK MARZO ]]*Tabla1[[#This Row],[COSTO UNITARIO SIN ITBIS]]</f>
        <v>3000</v>
      </c>
    </row>
    <row r="27" spans="1:20" s="9" customFormat="1" x14ac:dyDescent="0.25">
      <c r="A27" s="96">
        <v>18</v>
      </c>
      <c r="B27" s="43">
        <v>43724</v>
      </c>
      <c r="C27" s="42" t="s">
        <v>11</v>
      </c>
      <c r="D27" s="43">
        <v>43724</v>
      </c>
      <c r="E27" s="150"/>
      <c r="F27" s="44">
        <v>1036</v>
      </c>
      <c r="G27" s="41" t="s">
        <v>26</v>
      </c>
      <c r="H27" s="41">
        <f>78+156</f>
        <v>234</v>
      </c>
      <c r="I27" s="41"/>
      <c r="J27" s="41">
        <f>+'INVENTARIO ENERO-MARZO 2021'!$H27-'INVENTARIO ENERO-MARZO 2021'!$I27</f>
        <v>234</v>
      </c>
      <c r="K27" s="41"/>
      <c r="L27" s="41"/>
      <c r="M27" s="41">
        <v>3</v>
      </c>
      <c r="N27" s="41">
        <f>1+5</f>
        <v>6</v>
      </c>
      <c r="O27" s="41">
        <f>+Tabla1[[#This Row],[STOCK    FISICO ENERO 2021]]-Tabla1[[#This Row],[REQUISICIONES FEBRERO 2021]]</f>
        <v>231</v>
      </c>
      <c r="P27" s="41">
        <f>+Tabla1[[#This Row],[STOCK  FEBRERO 2021]]-Tabla1[[#This Row],[REQUISICIONES MARZO 2021]]+Tabla1[[#This Row],[ENTRADAS MARZO 2021]]</f>
        <v>225</v>
      </c>
      <c r="Q27" s="41" t="s">
        <v>12</v>
      </c>
      <c r="R27" s="46">
        <v>72.75</v>
      </c>
      <c r="S27" s="36">
        <f t="shared" si="0"/>
        <v>85.844999999999999</v>
      </c>
      <c r="T27" s="100">
        <f>Tabla1[[#This Row],[STOCK MARZO ]]*Tabla1[[#This Row],[COSTO UNITARIO SIN ITBIS]]</f>
        <v>16368.75</v>
      </c>
    </row>
    <row r="28" spans="1:20" s="9" customFormat="1" x14ac:dyDescent="0.25">
      <c r="A28" s="96">
        <v>19</v>
      </c>
      <c r="B28" s="127">
        <v>44286</v>
      </c>
      <c r="C28" s="42" t="s">
        <v>11</v>
      </c>
      <c r="D28" s="127">
        <v>44286</v>
      </c>
      <c r="E28" s="149" t="s">
        <v>814</v>
      </c>
      <c r="F28" s="129"/>
      <c r="G28" s="41" t="s">
        <v>26</v>
      </c>
      <c r="H28" s="131"/>
      <c r="I28" s="131"/>
      <c r="J28" s="131">
        <f>+'INVENTARIO ENERO-MARZO 2021'!$H28-'INVENTARIO ENERO-MARZO 2021'!$I28</f>
        <v>0</v>
      </c>
      <c r="K28" s="131"/>
      <c r="L28" s="131">
        <f>5*12</f>
        <v>60</v>
      </c>
      <c r="M28" s="131"/>
      <c r="N28" s="131"/>
      <c r="O28" s="132">
        <f>+Tabla1[[#This Row],[STOCK    FISICO ENERO 2021]]-Tabla1[[#This Row],[REQUISICIONES FEBRERO 2021]]</f>
        <v>0</v>
      </c>
      <c r="P28" s="132">
        <f>+Tabla1[[#This Row],[STOCK  FEBRERO 2021]]-Tabla1[[#This Row],[REQUISICIONES MARZO 2021]]+Tabla1[[#This Row],[ENTRADAS MARZO 2021]]</f>
        <v>60</v>
      </c>
      <c r="Q28" s="41" t="s">
        <v>12</v>
      </c>
      <c r="R28" s="133">
        <v>95</v>
      </c>
      <c r="S28" s="100">
        <f t="shared" si="0"/>
        <v>112.1</v>
      </c>
      <c r="T28" s="100">
        <f>Tabla1[[#This Row],[STOCK MARZO ]]*Tabla1[[#This Row],[COSTO UNITARIO SIN ITBIS]]</f>
        <v>5700</v>
      </c>
    </row>
    <row r="29" spans="1:20" s="9" customFormat="1" x14ac:dyDescent="0.25">
      <c r="A29" s="96">
        <v>20</v>
      </c>
      <c r="B29" s="43">
        <v>43724</v>
      </c>
      <c r="C29" s="42" t="s">
        <v>11</v>
      </c>
      <c r="D29" s="43">
        <v>43724</v>
      </c>
      <c r="E29" s="150"/>
      <c r="F29" s="44">
        <v>1035</v>
      </c>
      <c r="G29" s="41" t="s">
        <v>27</v>
      </c>
      <c r="H29" s="41">
        <f>108+130</f>
        <v>238</v>
      </c>
      <c r="I29" s="41">
        <v>1</v>
      </c>
      <c r="J29" s="41">
        <f>+'INVENTARIO ENERO-MARZO 2021'!$H29-'INVENTARIO ENERO-MARZO 2021'!$I29</f>
        <v>237</v>
      </c>
      <c r="K29" s="41"/>
      <c r="L29" s="41"/>
      <c r="M29" s="41">
        <f>3+1+2+3+2</f>
        <v>11</v>
      </c>
      <c r="N29" s="41">
        <v>1</v>
      </c>
      <c r="O29" s="41">
        <f>+Tabla1[[#This Row],[STOCK    FISICO ENERO 2021]]-Tabla1[[#This Row],[REQUISICIONES FEBRERO 2021]]</f>
        <v>226</v>
      </c>
      <c r="P29" s="41">
        <f>+Tabla1[[#This Row],[STOCK  FEBRERO 2021]]-Tabla1[[#This Row],[REQUISICIONES MARZO 2021]]+Tabla1[[#This Row],[ENTRADAS MARZO 2021]]</f>
        <v>225</v>
      </c>
      <c r="Q29" s="41" t="s">
        <v>12</v>
      </c>
      <c r="R29" s="46">
        <v>102</v>
      </c>
      <c r="S29" s="36">
        <f t="shared" si="0"/>
        <v>120.36</v>
      </c>
      <c r="T29" s="100">
        <f>Tabla1[[#This Row],[STOCK MARZO ]]*Tabla1[[#This Row],[COSTO UNITARIO SIN ITBIS]]</f>
        <v>22950</v>
      </c>
    </row>
    <row r="30" spans="1:20" s="9" customFormat="1" x14ac:dyDescent="0.25">
      <c r="A30" s="96">
        <v>21</v>
      </c>
      <c r="B30" s="127">
        <v>44286</v>
      </c>
      <c r="C30" s="42" t="s">
        <v>11</v>
      </c>
      <c r="D30" s="127">
        <v>44286</v>
      </c>
      <c r="E30" s="149" t="s">
        <v>814</v>
      </c>
      <c r="F30" s="129"/>
      <c r="G30" s="41" t="s">
        <v>27</v>
      </c>
      <c r="H30" s="131"/>
      <c r="I30" s="131"/>
      <c r="J30" s="131">
        <f>+'INVENTARIO ENERO-MARZO 2021'!$H30-'INVENTARIO ENERO-MARZO 2021'!$I30</f>
        <v>0</v>
      </c>
      <c r="K30" s="131"/>
      <c r="L30" s="131">
        <f>5*12</f>
        <v>60</v>
      </c>
      <c r="M30" s="131"/>
      <c r="N30" s="131"/>
      <c r="O30" s="132">
        <f>+Tabla1[[#This Row],[STOCK    FISICO ENERO 2021]]-Tabla1[[#This Row],[REQUISICIONES FEBRERO 2021]]</f>
        <v>0</v>
      </c>
      <c r="P30" s="132">
        <f>+Tabla1[[#This Row],[STOCK  FEBRERO 2021]]-Tabla1[[#This Row],[REQUISICIONES MARZO 2021]]+Tabla1[[#This Row],[ENTRADAS MARZO 2021]]</f>
        <v>60</v>
      </c>
      <c r="Q30" s="41" t="s">
        <v>12</v>
      </c>
      <c r="R30" s="133">
        <v>105.41666666666667</v>
      </c>
      <c r="S30" s="100">
        <f t="shared" si="0"/>
        <v>124.39166666666668</v>
      </c>
      <c r="T30" s="100">
        <f>Tabla1[[#This Row],[STOCK MARZO ]]*Tabla1[[#This Row],[COSTO UNITARIO SIN ITBIS]]</f>
        <v>6325</v>
      </c>
    </row>
    <row r="31" spans="1:20" s="13" customFormat="1" x14ac:dyDescent="0.25">
      <c r="A31" s="96">
        <v>22</v>
      </c>
      <c r="B31" s="32">
        <v>43724</v>
      </c>
      <c r="C31" s="29" t="s">
        <v>11</v>
      </c>
      <c r="D31" s="32">
        <v>43724</v>
      </c>
      <c r="E31" s="148"/>
      <c r="F31" s="29">
        <v>1387</v>
      </c>
      <c r="G31" s="41" t="s">
        <v>28</v>
      </c>
      <c r="H31" s="47">
        <f>84+192</f>
        <v>276</v>
      </c>
      <c r="I31" s="47"/>
      <c r="J31" s="47">
        <f>+'INVENTARIO ENERO-MARZO 2021'!$H31-'INVENTARIO ENERO-MARZO 2021'!$I31</f>
        <v>276</v>
      </c>
      <c r="K31" s="47"/>
      <c r="L31" s="47"/>
      <c r="M31" s="47">
        <f>4+3</f>
        <v>7</v>
      </c>
      <c r="N31" s="47">
        <f>2+2</f>
        <v>4</v>
      </c>
      <c r="O31" s="47">
        <f>+Tabla1[[#This Row],[STOCK    FISICO ENERO 2021]]-Tabla1[[#This Row],[REQUISICIONES FEBRERO 2021]]</f>
        <v>269</v>
      </c>
      <c r="P31" s="47">
        <f>+Tabla1[[#This Row],[STOCK  FEBRERO 2021]]-Tabla1[[#This Row],[REQUISICIONES MARZO 2021]]+Tabla1[[#This Row],[ENTRADAS MARZO 2021]]</f>
        <v>265</v>
      </c>
      <c r="Q31" s="31" t="s">
        <v>12</v>
      </c>
      <c r="R31" s="35">
        <v>139</v>
      </c>
      <c r="S31" s="36">
        <f t="shared" si="0"/>
        <v>164.02</v>
      </c>
      <c r="T31" s="100">
        <f>Tabla1[[#This Row],[STOCK MARZO ]]*Tabla1[[#This Row],[COSTO UNITARIO SIN ITBIS]]</f>
        <v>36835</v>
      </c>
    </row>
    <row r="32" spans="1:20" s="13" customFormat="1" x14ac:dyDescent="0.25">
      <c r="A32" s="96">
        <v>23</v>
      </c>
      <c r="B32" s="127">
        <v>44286</v>
      </c>
      <c r="C32" s="29" t="s">
        <v>11</v>
      </c>
      <c r="D32" s="127">
        <v>44286</v>
      </c>
      <c r="E32" s="149" t="s">
        <v>814</v>
      </c>
      <c r="F32" s="129"/>
      <c r="G32" s="41" t="s">
        <v>28</v>
      </c>
      <c r="H32" s="137"/>
      <c r="I32" s="137"/>
      <c r="J32" s="137">
        <f>+'INVENTARIO ENERO-MARZO 2021'!$H32-'INVENTARIO ENERO-MARZO 2021'!$I32</f>
        <v>0</v>
      </c>
      <c r="K32" s="137"/>
      <c r="L32" s="137">
        <f>5*12</f>
        <v>60</v>
      </c>
      <c r="M32" s="137"/>
      <c r="N32" s="137"/>
      <c r="O32" s="132">
        <f>+Tabla1[[#This Row],[STOCK    FISICO ENERO 2021]]-Tabla1[[#This Row],[REQUISICIONES FEBRERO 2021]]</f>
        <v>0</v>
      </c>
      <c r="P32" s="132">
        <f>+Tabla1[[#This Row],[STOCK  FEBRERO 2021]]-Tabla1[[#This Row],[REQUISICIONES MARZO 2021]]+Tabla1[[#This Row],[ENTRADAS MARZO 2021]]</f>
        <v>60</v>
      </c>
      <c r="Q32" s="31" t="s">
        <v>12</v>
      </c>
      <c r="R32" s="133">
        <v>145</v>
      </c>
      <c r="S32" s="100">
        <f t="shared" si="0"/>
        <v>171.1</v>
      </c>
      <c r="T32" s="100">
        <f>Tabla1[[#This Row],[STOCK MARZO ]]*Tabla1[[#This Row],[COSTO UNITARIO SIN ITBIS]]</f>
        <v>8700</v>
      </c>
    </row>
    <row r="33" spans="1:20" s="9" customFormat="1" x14ac:dyDescent="0.25">
      <c r="A33" s="96">
        <v>24</v>
      </c>
      <c r="B33" s="43">
        <v>43440</v>
      </c>
      <c r="C33" s="42" t="s">
        <v>11</v>
      </c>
      <c r="D33" s="43">
        <v>43440</v>
      </c>
      <c r="E33" s="150"/>
      <c r="F33" s="44">
        <v>1034</v>
      </c>
      <c r="G33" s="41" t="s">
        <v>29</v>
      </c>
      <c r="H33" s="41">
        <v>31</v>
      </c>
      <c r="I33" s="41"/>
      <c r="J33" s="41">
        <f>+'INVENTARIO ENERO-MARZO 2021'!$H33-'INVENTARIO ENERO-MARZO 2021'!$I33</f>
        <v>31</v>
      </c>
      <c r="K33" s="41"/>
      <c r="L33" s="41"/>
      <c r="M33" s="41">
        <f>4+2</f>
        <v>6</v>
      </c>
      <c r="N33" s="41">
        <f>2+4+1+10+2</f>
        <v>19</v>
      </c>
      <c r="O33" s="41">
        <f>+Tabla1[[#This Row],[STOCK    FISICO ENERO 2021]]-Tabla1[[#This Row],[REQUISICIONES FEBRERO 2021]]</f>
        <v>25</v>
      </c>
      <c r="P33" s="41">
        <f>+Tabla1[[#This Row],[STOCK  FEBRERO 2021]]-Tabla1[[#This Row],[REQUISICIONES MARZO 2021]]+Tabla1[[#This Row],[ENTRADAS MARZO 2021]]</f>
        <v>6</v>
      </c>
      <c r="Q33" s="41" t="s">
        <v>12</v>
      </c>
      <c r="R33" s="46">
        <v>295</v>
      </c>
      <c r="S33" s="36">
        <f t="shared" si="0"/>
        <v>348.1</v>
      </c>
      <c r="T33" s="100">
        <f>Tabla1[[#This Row],[STOCK MARZO ]]*Tabla1[[#This Row],[COSTO UNITARIO SIN ITBIS]]</f>
        <v>1770</v>
      </c>
    </row>
    <row r="34" spans="1:20" s="9" customFormat="1" x14ac:dyDescent="0.25">
      <c r="A34" s="96">
        <v>25</v>
      </c>
      <c r="B34" s="127">
        <v>44286</v>
      </c>
      <c r="C34" s="42" t="s">
        <v>11</v>
      </c>
      <c r="D34" s="127">
        <v>44286</v>
      </c>
      <c r="E34" s="149" t="s">
        <v>814</v>
      </c>
      <c r="F34" s="129"/>
      <c r="G34" s="41" t="s">
        <v>29</v>
      </c>
      <c r="H34" s="131"/>
      <c r="I34" s="131"/>
      <c r="J34" s="131">
        <f>+'INVENTARIO ENERO-MARZO 2021'!$H34-'INVENTARIO ENERO-MARZO 2021'!$I34</f>
        <v>0</v>
      </c>
      <c r="K34" s="131"/>
      <c r="L34" s="131">
        <f>9*12</f>
        <v>108</v>
      </c>
      <c r="M34" s="131"/>
      <c r="N34" s="131"/>
      <c r="O34" s="132">
        <f>+Tabla1[[#This Row],[STOCK    FISICO ENERO 2021]]-Tabla1[[#This Row],[REQUISICIONES FEBRERO 2021]]</f>
        <v>0</v>
      </c>
      <c r="P34" s="132">
        <f>+Tabla1[[#This Row],[STOCK  FEBRERO 2021]]-Tabla1[[#This Row],[REQUISICIONES MARZO 2021]]+Tabla1[[#This Row],[ENTRADAS MARZO 2021]]</f>
        <v>108</v>
      </c>
      <c r="Q34" s="41" t="s">
        <v>12</v>
      </c>
      <c r="R34" s="133">
        <v>249.16666666666666</v>
      </c>
      <c r="S34" s="100">
        <f t="shared" si="0"/>
        <v>294.01666666666665</v>
      </c>
      <c r="T34" s="100">
        <f>Tabla1[[#This Row],[STOCK MARZO ]]*Tabla1[[#This Row],[COSTO UNITARIO SIN ITBIS]]</f>
        <v>26910</v>
      </c>
    </row>
    <row r="35" spans="1:20" s="9" customFormat="1" x14ac:dyDescent="0.25">
      <c r="A35" s="96">
        <v>26</v>
      </c>
      <c r="B35" s="32">
        <v>43724</v>
      </c>
      <c r="C35" s="42" t="s">
        <v>11</v>
      </c>
      <c r="D35" s="32">
        <v>43724</v>
      </c>
      <c r="E35" s="148"/>
      <c r="F35" s="29">
        <v>1485</v>
      </c>
      <c r="G35" s="33" t="s">
        <v>30</v>
      </c>
      <c r="H35" s="34">
        <v>5</v>
      </c>
      <c r="I35" s="34"/>
      <c r="J35" s="34">
        <f>+'INVENTARIO ENERO-MARZO 2021'!$H35-'INVENTARIO ENERO-MARZO 2021'!$I35</f>
        <v>5</v>
      </c>
      <c r="K35" s="34"/>
      <c r="L35" s="34"/>
      <c r="M35" s="34"/>
      <c r="N35" s="34"/>
      <c r="O35" s="34">
        <f>+Tabla1[[#This Row],[STOCK    FISICO ENERO 2021]]-Tabla1[[#This Row],[REQUISICIONES FEBRERO 2021]]</f>
        <v>5</v>
      </c>
      <c r="P35" s="34">
        <f>+Tabla1[[#This Row],[STOCK  FEBRERO 2021]]-Tabla1[[#This Row],[REQUISICIONES MARZO 2021]]+Tabla1[[#This Row],[ENTRADAS MARZO 2021]]</f>
        <v>5</v>
      </c>
      <c r="Q35" s="31" t="s">
        <v>31</v>
      </c>
      <c r="R35" s="35">
        <v>1285</v>
      </c>
      <c r="S35" s="36">
        <f t="shared" si="0"/>
        <v>1516.3</v>
      </c>
      <c r="T35" s="100">
        <f>Tabla1[[#This Row],[STOCK MARZO ]]*Tabla1[[#This Row],[COSTO UNITARIO SIN ITBIS]]</f>
        <v>6425</v>
      </c>
    </row>
    <row r="36" spans="1:20" s="9" customFormat="1" x14ac:dyDescent="0.25">
      <c r="A36" s="96">
        <v>27</v>
      </c>
      <c r="B36" s="32">
        <v>43724</v>
      </c>
      <c r="C36" s="29" t="s">
        <v>11</v>
      </c>
      <c r="D36" s="32">
        <v>43724</v>
      </c>
      <c r="E36" s="148"/>
      <c r="F36" s="29">
        <v>1484</v>
      </c>
      <c r="G36" s="33" t="s">
        <v>32</v>
      </c>
      <c r="H36" s="34">
        <v>10</v>
      </c>
      <c r="I36" s="34"/>
      <c r="J36" s="34">
        <f>+'INVENTARIO ENERO-MARZO 2021'!$H36-'INVENTARIO ENERO-MARZO 2021'!$I36</f>
        <v>10</v>
      </c>
      <c r="K36" s="34"/>
      <c r="L36" s="34"/>
      <c r="M36" s="34"/>
      <c r="N36" s="34"/>
      <c r="O36" s="34">
        <f>+Tabla1[[#This Row],[STOCK    FISICO ENERO 2021]]-Tabla1[[#This Row],[REQUISICIONES FEBRERO 2021]]</f>
        <v>10</v>
      </c>
      <c r="P36" s="34">
        <f>+Tabla1[[#This Row],[STOCK  FEBRERO 2021]]-Tabla1[[#This Row],[REQUISICIONES MARZO 2021]]+Tabla1[[#This Row],[ENTRADAS MARZO 2021]]</f>
        <v>10</v>
      </c>
      <c r="Q36" s="31" t="s">
        <v>31</v>
      </c>
      <c r="R36" s="35">
        <v>1285</v>
      </c>
      <c r="S36" s="36">
        <f t="shared" si="0"/>
        <v>1516.3</v>
      </c>
      <c r="T36" s="100">
        <f>Tabla1[[#This Row],[STOCK MARZO ]]*Tabla1[[#This Row],[COSTO UNITARIO SIN ITBIS]]</f>
        <v>12850</v>
      </c>
    </row>
    <row r="37" spans="1:20" s="9" customFormat="1" x14ac:dyDescent="0.25">
      <c r="A37" s="96">
        <v>28</v>
      </c>
      <c r="B37" s="32">
        <v>43724</v>
      </c>
      <c r="C37" s="29" t="s">
        <v>11</v>
      </c>
      <c r="D37" s="32">
        <v>43724</v>
      </c>
      <c r="E37" s="148"/>
      <c r="F37" s="29">
        <v>1486</v>
      </c>
      <c r="G37" s="33" t="s">
        <v>33</v>
      </c>
      <c r="H37" s="34">
        <v>5</v>
      </c>
      <c r="I37" s="34"/>
      <c r="J37" s="34">
        <f>+'INVENTARIO ENERO-MARZO 2021'!$H37-'INVENTARIO ENERO-MARZO 2021'!$I37</f>
        <v>5</v>
      </c>
      <c r="K37" s="34"/>
      <c r="L37" s="34"/>
      <c r="M37" s="34"/>
      <c r="N37" s="34"/>
      <c r="O37" s="34">
        <f>+Tabla1[[#This Row],[STOCK    FISICO ENERO 2021]]-Tabla1[[#This Row],[REQUISICIONES FEBRERO 2021]]</f>
        <v>5</v>
      </c>
      <c r="P37" s="34">
        <f>+Tabla1[[#This Row],[STOCK  FEBRERO 2021]]-Tabla1[[#This Row],[REQUISICIONES MARZO 2021]]+Tabla1[[#This Row],[ENTRADAS MARZO 2021]]</f>
        <v>5</v>
      </c>
      <c r="Q37" s="31" t="s">
        <v>31</v>
      </c>
      <c r="R37" s="35">
        <v>1285</v>
      </c>
      <c r="S37" s="36">
        <f t="shared" si="0"/>
        <v>1516.3</v>
      </c>
      <c r="T37" s="100">
        <f>Tabla1[[#This Row],[STOCK MARZO ]]*Tabla1[[#This Row],[COSTO UNITARIO SIN ITBIS]]</f>
        <v>6425</v>
      </c>
    </row>
    <row r="38" spans="1:20" s="9" customFormat="1" x14ac:dyDescent="0.25">
      <c r="A38" s="96">
        <v>29</v>
      </c>
      <c r="B38" s="32">
        <v>43724</v>
      </c>
      <c r="C38" s="29" t="s">
        <v>11</v>
      </c>
      <c r="D38" s="32">
        <v>43724</v>
      </c>
      <c r="E38" s="148"/>
      <c r="F38" s="29">
        <v>1483</v>
      </c>
      <c r="G38" s="33" t="s">
        <v>34</v>
      </c>
      <c r="H38" s="34">
        <v>5</v>
      </c>
      <c r="I38" s="34"/>
      <c r="J38" s="34">
        <f>+'INVENTARIO ENERO-MARZO 2021'!$H38-'INVENTARIO ENERO-MARZO 2021'!$I38</f>
        <v>5</v>
      </c>
      <c r="K38" s="34"/>
      <c r="L38" s="34"/>
      <c r="M38" s="34"/>
      <c r="N38" s="34"/>
      <c r="O38" s="34">
        <f>+Tabla1[[#This Row],[STOCK    FISICO ENERO 2021]]-Tabla1[[#This Row],[REQUISICIONES FEBRERO 2021]]</f>
        <v>5</v>
      </c>
      <c r="P38" s="34">
        <f>+Tabla1[[#This Row],[STOCK  FEBRERO 2021]]-Tabla1[[#This Row],[REQUISICIONES MARZO 2021]]+Tabla1[[#This Row],[ENTRADAS MARZO 2021]]</f>
        <v>5</v>
      </c>
      <c r="Q38" s="31" t="s">
        <v>31</v>
      </c>
      <c r="R38" s="35">
        <v>1285</v>
      </c>
      <c r="S38" s="36">
        <f t="shared" si="0"/>
        <v>1516.3</v>
      </c>
      <c r="T38" s="100">
        <f>Tabla1[[#This Row],[STOCK MARZO ]]*Tabla1[[#This Row],[COSTO UNITARIO SIN ITBIS]]</f>
        <v>6425</v>
      </c>
    </row>
    <row r="39" spans="1:20" s="9" customFormat="1" x14ac:dyDescent="0.25">
      <c r="A39" s="96">
        <v>30</v>
      </c>
      <c r="B39" s="43">
        <v>43440</v>
      </c>
      <c r="C39" s="42" t="s">
        <v>11</v>
      </c>
      <c r="D39" s="43">
        <v>43440</v>
      </c>
      <c r="E39" s="150"/>
      <c r="F39" s="44">
        <v>1060</v>
      </c>
      <c r="G39" s="41" t="s">
        <v>35</v>
      </c>
      <c r="H39" s="41">
        <v>680</v>
      </c>
      <c r="I39" s="41"/>
      <c r="J39" s="41">
        <f>+'INVENTARIO ENERO-MARZO 2021'!$H39-'INVENTARIO ENERO-MARZO 2021'!$I39</f>
        <v>680</v>
      </c>
      <c r="K39" s="41"/>
      <c r="L39" s="41"/>
      <c r="M39" s="41"/>
      <c r="N39" s="41">
        <f>2+1</f>
        <v>3</v>
      </c>
      <c r="O39" s="41">
        <f>+Tabla1[[#This Row],[STOCK    FISICO ENERO 2021]]-Tabla1[[#This Row],[REQUISICIONES FEBRERO 2021]]</f>
        <v>680</v>
      </c>
      <c r="P39" s="41">
        <f>+Tabla1[[#This Row],[STOCK  FEBRERO 2021]]-Tabla1[[#This Row],[REQUISICIONES MARZO 2021]]+Tabla1[[#This Row],[ENTRADAS MARZO 2021]]</f>
        <v>677</v>
      </c>
      <c r="Q39" s="41" t="s">
        <v>12</v>
      </c>
      <c r="R39" s="46">
        <v>8.56</v>
      </c>
      <c r="S39" s="36">
        <f t="shared" si="0"/>
        <v>10.1008</v>
      </c>
      <c r="T39" s="100">
        <f>Tabla1[[#This Row],[STOCK MARZO ]]*Tabla1[[#This Row],[COSTO UNITARIO SIN ITBIS]]</f>
        <v>5795.12</v>
      </c>
    </row>
    <row r="40" spans="1:20" s="9" customFormat="1" x14ac:dyDescent="0.25">
      <c r="A40" s="96">
        <v>31</v>
      </c>
      <c r="B40" s="43">
        <v>43671</v>
      </c>
      <c r="C40" s="42" t="s">
        <v>11</v>
      </c>
      <c r="D40" s="43">
        <v>43671</v>
      </c>
      <c r="E40" s="150"/>
      <c r="F40" s="44">
        <v>1063</v>
      </c>
      <c r="G40" s="41" t="s">
        <v>36</v>
      </c>
      <c r="H40" s="41">
        <v>76</v>
      </c>
      <c r="I40" s="41">
        <v>1</v>
      </c>
      <c r="J40" s="41">
        <f>+'INVENTARIO ENERO-MARZO 2021'!$H40-'INVENTARIO ENERO-MARZO 2021'!$I40</f>
        <v>75</v>
      </c>
      <c r="K40" s="41"/>
      <c r="L40" s="41"/>
      <c r="M40" s="41"/>
      <c r="N40" s="41">
        <f>1+1</f>
        <v>2</v>
      </c>
      <c r="O40" s="41">
        <f>+Tabla1[[#This Row],[STOCK    FISICO ENERO 2021]]-Tabla1[[#This Row],[REQUISICIONES FEBRERO 2021]]</f>
        <v>75</v>
      </c>
      <c r="P40" s="41">
        <f>+Tabla1[[#This Row],[STOCK  FEBRERO 2021]]-Tabla1[[#This Row],[REQUISICIONES MARZO 2021]]+Tabla1[[#This Row],[ENTRADAS MARZO 2021]]</f>
        <v>73</v>
      </c>
      <c r="Q40" s="41" t="s">
        <v>37</v>
      </c>
      <c r="R40" s="46">
        <v>49.65</v>
      </c>
      <c r="S40" s="36">
        <f t="shared" si="0"/>
        <v>58.586999999999996</v>
      </c>
      <c r="T40" s="100">
        <f>Tabla1[[#This Row],[STOCK MARZO ]]*Tabla1[[#This Row],[COSTO UNITARIO SIN ITBIS]]</f>
        <v>3624.45</v>
      </c>
    </row>
    <row r="41" spans="1:20" s="9" customFormat="1" x14ac:dyDescent="0.25">
      <c r="A41" s="96">
        <v>32</v>
      </c>
      <c r="B41" s="43">
        <v>43654</v>
      </c>
      <c r="C41" s="42" t="s">
        <v>11</v>
      </c>
      <c r="D41" s="43">
        <v>43654</v>
      </c>
      <c r="E41" s="150"/>
      <c r="F41" s="44">
        <v>1065</v>
      </c>
      <c r="G41" s="41" t="s">
        <v>38</v>
      </c>
      <c r="H41" s="41">
        <v>152</v>
      </c>
      <c r="I41" s="41">
        <f>2+4</f>
        <v>6</v>
      </c>
      <c r="J41" s="41">
        <f>+'INVENTARIO ENERO-MARZO 2021'!$H41-'INVENTARIO ENERO-MARZO 2021'!$I41</f>
        <v>146</v>
      </c>
      <c r="K41" s="41"/>
      <c r="L41" s="41"/>
      <c r="M41" s="41">
        <f>3+2+2+3+3+3+4</f>
        <v>20</v>
      </c>
      <c r="N41" s="41">
        <f>4+2+2+6+4+2</f>
        <v>20</v>
      </c>
      <c r="O41" s="41">
        <f>+Tabla1[[#This Row],[STOCK    FISICO ENERO 2021]]-Tabla1[[#This Row],[REQUISICIONES FEBRERO 2021]]</f>
        <v>126</v>
      </c>
      <c r="P41" s="41">
        <f>+Tabla1[[#This Row],[STOCK  FEBRERO 2021]]-Tabla1[[#This Row],[REQUISICIONES MARZO 2021]]+Tabla1[[#This Row],[ENTRADAS MARZO 2021]]</f>
        <v>106</v>
      </c>
      <c r="Q41" s="41" t="s">
        <v>12</v>
      </c>
      <c r="R41" s="46">
        <v>11.8</v>
      </c>
      <c r="S41" s="36">
        <f t="shared" si="0"/>
        <v>13.924000000000001</v>
      </c>
      <c r="T41" s="100">
        <f>Tabla1[[#This Row],[STOCK MARZO ]]*Tabla1[[#This Row],[COSTO UNITARIO SIN ITBIS]]</f>
        <v>1250.8000000000002</v>
      </c>
    </row>
    <row r="42" spans="1:20" s="9" customFormat="1" x14ac:dyDescent="0.25">
      <c r="A42" s="96">
        <v>33</v>
      </c>
      <c r="B42" s="127">
        <v>44285</v>
      </c>
      <c r="C42" s="42" t="s">
        <v>11</v>
      </c>
      <c r="D42" s="127">
        <v>44285</v>
      </c>
      <c r="E42" s="149" t="s">
        <v>797</v>
      </c>
      <c r="F42" s="129"/>
      <c r="G42" s="41" t="s">
        <v>799</v>
      </c>
      <c r="H42" s="131"/>
      <c r="I42" s="131"/>
      <c r="J42" s="131">
        <f>+'INVENTARIO ENERO-MARZO 2021'!$H42-'INVENTARIO ENERO-MARZO 2021'!$I42</f>
        <v>0</v>
      </c>
      <c r="K42" s="131"/>
      <c r="L42" s="131">
        <v>10</v>
      </c>
      <c r="M42" s="131"/>
      <c r="N42" s="131"/>
      <c r="O42" s="132">
        <f>+Tabla1[[#This Row],[STOCK    FISICO ENERO 2021]]-Tabla1[[#This Row],[REQUISICIONES FEBRERO 2021]]</f>
        <v>0</v>
      </c>
      <c r="P42" s="132">
        <f>+Tabla1[[#This Row],[STOCK  FEBRERO 2021]]-Tabla1[[#This Row],[REQUISICIONES MARZO 2021]]+Tabla1[[#This Row],[ENTRADAS MARZO 2021]]</f>
        <v>10</v>
      </c>
      <c r="Q42" s="41" t="s">
        <v>12</v>
      </c>
      <c r="R42" s="133">
        <v>49</v>
      </c>
      <c r="S42" s="100">
        <f t="shared" si="0"/>
        <v>57.82</v>
      </c>
      <c r="T42" s="100">
        <f>Tabla1[[#This Row],[STOCK MARZO ]]*Tabla1[[#This Row],[COSTO UNITARIO SIN ITBIS]]</f>
        <v>490</v>
      </c>
    </row>
    <row r="43" spans="1:20" s="9" customFormat="1" x14ac:dyDescent="0.25">
      <c r="A43" s="96">
        <v>34</v>
      </c>
      <c r="B43" s="32">
        <v>43440</v>
      </c>
      <c r="C43" s="29" t="s">
        <v>11</v>
      </c>
      <c r="D43" s="32">
        <v>43440</v>
      </c>
      <c r="E43" s="148"/>
      <c r="F43" s="29">
        <v>1374</v>
      </c>
      <c r="G43" s="33" t="s">
        <v>39</v>
      </c>
      <c r="H43" s="47">
        <v>269</v>
      </c>
      <c r="I43" s="47">
        <v>2</v>
      </c>
      <c r="J43" s="47">
        <f>+'INVENTARIO ENERO-MARZO 2021'!$H43-'INVENTARIO ENERO-MARZO 2021'!$I43</f>
        <v>267</v>
      </c>
      <c r="K43" s="47"/>
      <c r="L43" s="47"/>
      <c r="M43" s="47">
        <f>2+3+1+3</f>
        <v>9</v>
      </c>
      <c r="N43" s="47">
        <f>2+1+1+1+3+4+2+3</f>
        <v>17</v>
      </c>
      <c r="O43" s="47">
        <f>+Tabla1[[#This Row],[STOCK    FISICO ENERO 2021]]-Tabla1[[#This Row],[REQUISICIONES FEBRERO 2021]]</f>
        <v>258</v>
      </c>
      <c r="P43" s="47">
        <f>+Tabla1[[#This Row],[STOCK  FEBRERO 2021]]-Tabla1[[#This Row],[REQUISICIONES MARZO 2021]]+Tabla1[[#This Row],[ENTRADAS MARZO 2021]]</f>
        <v>241</v>
      </c>
      <c r="Q43" s="31" t="s">
        <v>12</v>
      </c>
      <c r="R43" s="35">
        <v>34.81</v>
      </c>
      <c r="S43" s="36">
        <f t="shared" si="0"/>
        <v>41.075800000000001</v>
      </c>
      <c r="T43" s="100">
        <f>Tabla1[[#This Row],[STOCK MARZO ]]*Tabla1[[#This Row],[COSTO UNITARIO SIN ITBIS]]</f>
        <v>8389.2100000000009</v>
      </c>
    </row>
    <row r="44" spans="1:20" s="9" customFormat="1" x14ac:dyDescent="0.25">
      <c r="A44" s="96">
        <v>35</v>
      </c>
      <c r="B44" s="32">
        <v>43725</v>
      </c>
      <c r="C44" s="29" t="s">
        <v>11</v>
      </c>
      <c r="D44" s="32">
        <v>43725</v>
      </c>
      <c r="E44" s="148"/>
      <c r="F44" s="29">
        <v>1482</v>
      </c>
      <c r="G44" s="33" t="s">
        <v>40</v>
      </c>
      <c r="H44" s="34">
        <v>20</v>
      </c>
      <c r="I44" s="34"/>
      <c r="J44" s="34">
        <f>+'INVENTARIO ENERO-MARZO 2021'!$H44-'INVENTARIO ENERO-MARZO 2021'!$I44</f>
        <v>20</v>
      </c>
      <c r="K44" s="34"/>
      <c r="L44" s="34"/>
      <c r="M44" s="34"/>
      <c r="N44" s="34">
        <v>3</v>
      </c>
      <c r="O44" s="34">
        <f>+Tabla1[[#This Row],[STOCK    FISICO ENERO 2021]]-Tabla1[[#This Row],[REQUISICIONES FEBRERO 2021]]</f>
        <v>20</v>
      </c>
      <c r="P44" s="34">
        <f>+Tabla1[[#This Row],[STOCK  FEBRERO 2021]]-Tabla1[[#This Row],[REQUISICIONES MARZO 2021]]+Tabla1[[#This Row],[ENTRADAS MARZO 2021]]</f>
        <v>17</v>
      </c>
      <c r="Q44" s="31" t="s">
        <v>12</v>
      </c>
      <c r="R44" s="35">
        <v>29</v>
      </c>
      <c r="S44" s="36">
        <f t="shared" si="0"/>
        <v>34.22</v>
      </c>
      <c r="T44" s="100">
        <f>Tabla1[[#This Row],[STOCK MARZO ]]*Tabla1[[#This Row],[COSTO UNITARIO SIN ITBIS]]</f>
        <v>493</v>
      </c>
    </row>
    <row r="45" spans="1:20" s="9" customFormat="1" x14ac:dyDescent="0.25">
      <c r="A45" s="96">
        <v>36</v>
      </c>
      <c r="B45" s="32">
        <v>43440</v>
      </c>
      <c r="C45" s="29" t="s">
        <v>11</v>
      </c>
      <c r="D45" s="32">
        <v>43440</v>
      </c>
      <c r="E45" s="148"/>
      <c r="F45" s="29">
        <v>1398</v>
      </c>
      <c r="G45" s="33" t="s">
        <v>41</v>
      </c>
      <c r="H45" s="34">
        <v>600</v>
      </c>
      <c r="I45" s="34">
        <v>2</v>
      </c>
      <c r="J45" s="34">
        <f>+'INVENTARIO ENERO-MARZO 2021'!$H45-'INVENTARIO ENERO-MARZO 2021'!$I45</f>
        <v>598</v>
      </c>
      <c r="K45" s="34"/>
      <c r="L45" s="34"/>
      <c r="M45" s="34">
        <f>1+1</f>
        <v>2</v>
      </c>
      <c r="N45" s="34"/>
      <c r="O45" s="34">
        <f>+Tabla1[[#This Row],[STOCK    FISICO ENERO 2021]]-Tabla1[[#This Row],[REQUISICIONES FEBRERO 2021]]</f>
        <v>596</v>
      </c>
      <c r="P45" s="34">
        <f>+Tabla1[[#This Row],[STOCK  FEBRERO 2021]]-Tabla1[[#This Row],[REQUISICIONES MARZO 2021]]+Tabla1[[#This Row],[ENTRADAS MARZO 2021]]</f>
        <v>596</v>
      </c>
      <c r="Q45" s="31" t="s">
        <v>12</v>
      </c>
      <c r="R45" s="35">
        <v>1.93</v>
      </c>
      <c r="S45" s="36">
        <f t="shared" si="0"/>
        <v>2.2774000000000001</v>
      </c>
      <c r="T45" s="100">
        <f>Tabla1[[#This Row],[STOCK MARZO ]]*Tabla1[[#This Row],[COSTO UNITARIO SIN ITBIS]]</f>
        <v>1150.28</v>
      </c>
    </row>
    <row r="46" spans="1:20" s="9" customFormat="1" x14ac:dyDescent="0.25">
      <c r="A46" s="96">
        <v>37</v>
      </c>
      <c r="B46" s="32">
        <v>43440</v>
      </c>
      <c r="C46" s="29" t="s">
        <v>11</v>
      </c>
      <c r="D46" s="32">
        <v>43440</v>
      </c>
      <c r="E46" s="148"/>
      <c r="F46" s="29">
        <v>1397</v>
      </c>
      <c r="G46" s="33" t="s">
        <v>42</v>
      </c>
      <c r="H46" s="34">
        <v>960</v>
      </c>
      <c r="I46" s="34">
        <v>2</v>
      </c>
      <c r="J46" s="34">
        <f>+'INVENTARIO ENERO-MARZO 2021'!$H46-'INVENTARIO ENERO-MARZO 2021'!$I46</f>
        <v>958</v>
      </c>
      <c r="K46" s="34"/>
      <c r="L46" s="34"/>
      <c r="M46" s="34">
        <f>1+2+2</f>
        <v>5</v>
      </c>
      <c r="N46" s="34">
        <f>6+1</f>
        <v>7</v>
      </c>
      <c r="O46" s="34">
        <f>+Tabla1[[#This Row],[STOCK    FISICO ENERO 2021]]-Tabla1[[#This Row],[REQUISICIONES FEBRERO 2021]]</f>
        <v>953</v>
      </c>
      <c r="P46" s="34">
        <f>+Tabla1[[#This Row],[STOCK  FEBRERO 2021]]-Tabla1[[#This Row],[REQUISICIONES MARZO 2021]]+Tabla1[[#This Row],[ENTRADAS MARZO 2021]]</f>
        <v>946</v>
      </c>
      <c r="Q46" s="31" t="s">
        <v>12</v>
      </c>
      <c r="R46" s="35">
        <v>12.9</v>
      </c>
      <c r="S46" s="36">
        <f t="shared" si="0"/>
        <v>15.222000000000001</v>
      </c>
      <c r="T46" s="100">
        <f>Tabla1[[#This Row],[STOCK MARZO ]]*Tabla1[[#This Row],[COSTO UNITARIO SIN ITBIS]]</f>
        <v>12203.4</v>
      </c>
    </row>
    <row r="47" spans="1:20" s="9" customFormat="1" x14ac:dyDescent="0.25">
      <c r="A47" s="96">
        <v>38</v>
      </c>
      <c r="B47" s="32">
        <v>43671</v>
      </c>
      <c r="C47" s="29" t="s">
        <v>11</v>
      </c>
      <c r="D47" s="32">
        <v>43671</v>
      </c>
      <c r="E47" s="148"/>
      <c r="F47" s="29">
        <v>1396</v>
      </c>
      <c r="G47" s="33" t="s">
        <v>43</v>
      </c>
      <c r="H47" s="34">
        <v>432</v>
      </c>
      <c r="I47" s="34">
        <v>2</v>
      </c>
      <c r="J47" s="34">
        <f>+'INVENTARIO ENERO-MARZO 2021'!$H47-'INVENTARIO ENERO-MARZO 2021'!$I47</f>
        <v>430</v>
      </c>
      <c r="K47" s="34"/>
      <c r="L47" s="34"/>
      <c r="M47" s="34">
        <f>5+2</f>
        <v>7</v>
      </c>
      <c r="N47" s="34">
        <v>1</v>
      </c>
      <c r="O47" s="34">
        <f>+Tabla1[[#This Row],[STOCK    FISICO ENERO 2021]]-Tabla1[[#This Row],[REQUISICIONES FEBRERO 2021]]</f>
        <v>423</v>
      </c>
      <c r="P47" s="34">
        <f>+Tabla1[[#This Row],[STOCK  FEBRERO 2021]]-Tabla1[[#This Row],[REQUISICIONES MARZO 2021]]+Tabla1[[#This Row],[ENTRADAS MARZO 2021]]</f>
        <v>422</v>
      </c>
      <c r="Q47" s="31" t="s">
        <v>12</v>
      </c>
      <c r="R47" s="35">
        <v>2.29</v>
      </c>
      <c r="S47" s="36">
        <f t="shared" si="0"/>
        <v>2.7021999999999999</v>
      </c>
      <c r="T47" s="100">
        <f>Tabla1[[#This Row],[STOCK MARZO ]]*Tabla1[[#This Row],[COSTO UNITARIO SIN ITBIS]]</f>
        <v>966.38</v>
      </c>
    </row>
    <row r="48" spans="1:20" s="9" customFormat="1" x14ac:dyDescent="0.25">
      <c r="A48" s="96">
        <v>39</v>
      </c>
      <c r="B48" s="32">
        <v>43440</v>
      </c>
      <c r="C48" s="29" t="s">
        <v>11</v>
      </c>
      <c r="D48" s="32">
        <v>43440</v>
      </c>
      <c r="E48" s="148"/>
      <c r="F48" s="29">
        <v>1395</v>
      </c>
      <c r="G48" s="33" t="s">
        <v>44</v>
      </c>
      <c r="H48" s="34">
        <v>840</v>
      </c>
      <c r="I48" s="34"/>
      <c r="J48" s="34">
        <f>+'INVENTARIO ENERO-MARZO 2021'!$H48-'INVENTARIO ENERO-MARZO 2021'!$I48</f>
        <v>840</v>
      </c>
      <c r="K48" s="34"/>
      <c r="L48" s="34"/>
      <c r="M48" s="34"/>
      <c r="N48" s="34"/>
      <c r="O48" s="34">
        <f>+Tabla1[[#This Row],[STOCK    FISICO ENERO 2021]]-Tabla1[[#This Row],[REQUISICIONES FEBRERO 2021]]</f>
        <v>840</v>
      </c>
      <c r="P48" s="34">
        <f>+Tabla1[[#This Row],[STOCK  FEBRERO 2021]]-Tabla1[[#This Row],[REQUISICIONES MARZO 2021]]+Tabla1[[#This Row],[ENTRADAS MARZO 2021]]</f>
        <v>840</v>
      </c>
      <c r="Q48" s="31" t="s">
        <v>12</v>
      </c>
      <c r="R48" s="35">
        <v>44</v>
      </c>
      <c r="S48" s="36">
        <f t="shared" si="0"/>
        <v>51.92</v>
      </c>
      <c r="T48" s="100">
        <f>Tabla1[[#This Row],[STOCK MARZO ]]*Tabla1[[#This Row],[COSTO UNITARIO SIN ITBIS]]</f>
        <v>36960</v>
      </c>
    </row>
    <row r="49" spans="1:20" s="9" customFormat="1" x14ac:dyDescent="0.25">
      <c r="A49" s="96">
        <v>40</v>
      </c>
      <c r="B49" s="32">
        <v>43440</v>
      </c>
      <c r="C49" s="29" t="s">
        <v>11</v>
      </c>
      <c r="D49" s="32">
        <v>43440</v>
      </c>
      <c r="E49" s="148"/>
      <c r="F49" s="29">
        <v>1394</v>
      </c>
      <c r="G49" s="33" t="s">
        <v>45</v>
      </c>
      <c r="H49" s="34">
        <v>480</v>
      </c>
      <c r="I49" s="34"/>
      <c r="J49" s="34">
        <f>+'INVENTARIO ENERO-MARZO 2021'!$H49-'INVENTARIO ENERO-MARZO 2021'!$I49</f>
        <v>480</v>
      </c>
      <c r="K49" s="34"/>
      <c r="L49" s="34"/>
      <c r="M49" s="34">
        <f>2+2</f>
        <v>4</v>
      </c>
      <c r="N49" s="34">
        <v>6</v>
      </c>
      <c r="O49" s="34">
        <f>+Tabla1[[#This Row],[STOCK    FISICO ENERO 2021]]-Tabla1[[#This Row],[REQUISICIONES FEBRERO 2021]]</f>
        <v>476</v>
      </c>
      <c r="P49" s="34">
        <f>+Tabla1[[#This Row],[STOCK  FEBRERO 2021]]-Tabla1[[#This Row],[REQUISICIONES MARZO 2021]]+Tabla1[[#This Row],[ENTRADAS MARZO 2021]]</f>
        <v>470</v>
      </c>
      <c r="Q49" s="31" t="s">
        <v>12</v>
      </c>
      <c r="R49" s="35">
        <v>5.95</v>
      </c>
      <c r="S49" s="36">
        <f t="shared" si="0"/>
        <v>7.0209999999999999</v>
      </c>
      <c r="T49" s="100">
        <f>Tabla1[[#This Row],[STOCK MARZO ]]*Tabla1[[#This Row],[COSTO UNITARIO SIN ITBIS]]</f>
        <v>2796.5</v>
      </c>
    </row>
    <row r="50" spans="1:20" s="9" customFormat="1" x14ac:dyDescent="0.25">
      <c r="A50" s="96">
        <v>41</v>
      </c>
      <c r="B50" s="32">
        <v>43440</v>
      </c>
      <c r="C50" s="29" t="s">
        <v>11</v>
      </c>
      <c r="D50" s="32">
        <v>43440</v>
      </c>
      <c r="E50" s="148"/>
      <c r="F50" s="29">
        <v>1393</v>
      </c>
      <c r="G50" s="33" t="s">
        <v>46</v>
      </c>
      <c r="H50" s="34">
        <v>588</v>
      </c>
      <c r="I50" s="34"/>
      <c r="J50" s="34">
        <f>+'INVENTARIO ENERO-MARZO 2021'!$H50-'INVENTARIO ENERO-MARZO 2021'!$I50</f>
        <v>588</v>
      </c>
      <c r="K50" s="34"/>
      <c r="L50" s="34"/>
      <c r="M50" s="34">
        <v>1</v>
      </c>
      <c r="N50" s="34">
        <v>1</v>
      </c>
      <c r="O50" s="34">
        <f>+Tabla1[[#This Row],[STOCK    FISICO ENERO 2021]]-Tabla1[[#This Row],[REQUISICIONES FEBRERO 2021]]</f>
        <v>587</v>
      </c>
      <c r="P50" s="34">
        <f>+Tabla1[[#This Row],[STOCK  FEBRERO 2021]]-Tabla1[[#This Row],[REQUISICIONES MARZO 2021]]+Tabla1[[#This Row],[ENTRADAS MARZO 2021]]</f>
        <v>586</v>
      </c>
      <c r="Q50" s="31" t="s">
        <v>12</v>
      </c>
      <c r="R50" s="35">
        <v>8.5</v>
      </c>
      <c r="S50" s="36">
        <f t="shared" si="0"/>
        <v>10.029999999999999</v>
      </c>
      <c r="T50" s="100">
        <f>Tabla1[[#This Row],[STOCK MARZO ]]*Tabla1[[#This Row],[COSTO UNITARIO SIN ITBIS]]</f>
        <v>4981</v>
      </c>
    </row>
    <row r="51" spans="1:20" s="9" customFormat="1" x14ac:dyDescent="0.25">
      <c r="A51" s="96">
        <v>42</v>
      </c>
      <c r="B51" s="32">
        <v>43440</v>
      </c>
      <c r="C51" s="29" t="s">
        <v>11</v>
      </c>
      <c r="D51" s="32">
        <v>43440</v>
      </c>
      <c r="E51" s="148"/>
      <c r="F51" s="29">
        <v>1375</v>
      </c>
      <c r="G51" s="33" t="s">
        <v>47</v>
      </c>
      <c r="H51" s="47">
        <v>310</v>
      </c>
      <c r="I51" s="47">
        <f>2+2+3+1+2+2</f>
        <v>12</v>
      </c>
      <c r="J51" s="47">
        <f>+'INVENTARIO ENERO-MARZO 2021'!$H51-'INVENTARIO ENERO-MARZO 2021'!$I51</f>
        <v>298</v>
      </c>
      <c r="K51" s="47"/>
      <c r="L51" s="47"/>
      <c r="M51" s="47">
        <f>1+5+2+1+2+1+1+1+3</f>
        <v>17</v>
      </c>
      <c r="N51" s="47">
        <f>1+4+2+4+1+3+3+4+3+3+4+1+1+3+30+4+2</f>
        <v>73</v>
      </c>
      <c r="O51" s="47">
        <f>+Tabla1[[#This Row],[STOCK    FISICO ENERO 2021]]-Tabla1[[#This Row],[REQUISICIONES FEBRERO 2021]]</f>
        <v>281</v>
      </c>
      <c r="P51" s="47">
        <f>+Tabla1[[#This Row],[STOCK  FEBRERO 2021]]-Tabla1[[#This Row],[REQUISICIONES MARZO 2021]]+Tabla1[[#This Row],[ENTRADAS MARZO 2021]]</f>
        <v>208</v>
      </c>
      <c r="Q51" s="31" t="s">
        <v>37</v>
      </c>
      <c r="R51" s="35">
        <v>8.94</v>
      </c>
      <c r="S51" s="36">
        <f t="shared" si="0"/>
        <v>10.549199999999999</v>
      </c>
      <c r="T51" s="100">
        <f>Tabla1[[#This Row],[STOCK MARZO ]]*Tabla1[[#This Row],[COSTO UNITARIO SIN ITBIS]]</f>
        <v>1859.52</v>
      </c>
    </row>
    <row r="52" spans="1:20" s="9" customFormat="1" x14ac:dyDescent="0.25">
      <c r="A52" s="96">
        <v>43</v>
      </c>
      <c r="B52" s="127">
        <v>44286</v>
      </c>
      <c r="C52" s="29" t="s">
        <v>11</v>
      </c>
      <c r="D52" s="127">
        <v>44286</v>
      </c>
      <c r="E52" s="149" t="s">
        <v>827</v>
      </c>
      <c r="F52" s="129"/>
      <c r="G52" s="33" t="s">
        <v>826</v>
      </c>
      <c r="H52" s="137"/>
      <c r="I52" s="137"/>
      <c r="J52" s="137">
        <f>+'INVENTARIO ENERO-MARZO 2021'!$H52-'INVENTARIO ENERO-MARZO 2021'!$I52</f>
        <v>0</v>
      </c>
      <c r="K52" s="137"/>
      <c r="L52" s="137">
        <v>50</v>
      </c>
      <c r="M52" s="137"/>
      <c r="N52" s="137"/>
      <c r="O52" s="132">
        <f>+Tabla1[[#This Row],[STOCK    FISICO ENERO 2021]]-Tabla1[[#This Row],[REQUISICIONES FEBRERO 2021]]</f>
        <v>0</v>
      </c>
      <c r="P52" s="132">
        <f>+Tabla1[[#This Row],[STOCK  FEBRERO 2021]]-Tabla1[[#This Row],[REQUISICIONES MARZO 2021]]+Tabla1[[#This Row],[ENTRADAS MARZO 2021]]</f>
        <v>50</v>
      </c>
      <c r="Q52" s="31" t="s">
        <v>37</v>
      </c>
      <c r="R52" s="133">
        <v>15</v>
      </c>
      <c r="S52" s="100">
        <f t="shared" si="0"/>
        <v>17.7</v>
      </c>
      <c r="T52" s="100">
        <f>Tabla1[[#This Row],[STOCK MARZO ]]*Tabla1[[#This Row],[COSTO UNITARIO SIN ITBIS]]</f>
        <v>750</v>
      </c>
    </row>
    <row r="53" spans="1:20" s="9" customFormat="1" x14ac:dyDescent="0.25">
      <c r="A53" s="96">
        <v>44</v>
      </c>
      <c r="B53" s="32">
        <v>43671</v>
      </c>
      <c r="C53" s="29" t="s">
        <v>11</v>
      </c>
      <c r="D53" s="32">
        <v>43671</v>
      </c>
      <c r="E53" s="148"/>
      <c r="F53" s="29">
        <v>1376</v>
      </c>
      <c r="G53" s="33" t="s">
        <v>48</v>
      </c>
      <c r="H53" s="47">
        <v>128</v>
      </c>
      <c r="I53" s="47">
        <f>2+2+3+2</f>
        <v>9</v>
      </c>
      <c r="J53" s="47">
        <f>+'INVENTARIO ENERO-MARZO 2021'!$H53-'INVENTARIO ENERO-MARZO 2021'!$I53</f>
        <v>119</v>
      </c>
      <c r="K53" s="47"/>
      <c r="L53" s="47"/>
      <c r="M53" s="47">
        <f>1+1+2+2+3+1</f>
        <v>10</v>
      </c>
      <c r="N53" s="47">
        <f>2+1+3+2+2+3+4+1+1+3+30+2</f>
        <v>54</v>
      </c>
      <c r="O53" s="47">
        <f>+Tabla1[[#This Row],[STOCK    FISICO ENERO 2021]]-Tabla1[[#This Row],[REQUISICIONES FEBRERO 2021]]</f>
        <v>109</v>
      </c>
      <c r="P53" s="47">
        <f>+Tabla1[[#This Row],[STOCK  FEBRERO 2021]]-Tabla1[[#This Row],[REQUISICIONES MARZO 2021]]+Tabla1[[#This Row],[ENTRADAS MARZO 2021]]</f>
        <v>55</v>
      </c>
      <c r="Q53" s="31" t="s">
        <v>37</v>
      </c>
      <c r="R53" s="35">
        <v>27.61</v>
      </c>
      <c r="S53" s="36">
        <f t="shared" si="0"/>
        <v>32.579799999999999</v>
      </c>
      <c r="T53" s="100">
        <f>Tabla1[[#This Row],[STOCK MARZO ]]*Tabla1[[#This Row],[COSTO UNITARIO SIN ITBIS]]</f>
        <v>1518.55</v>
      </c>
    </row>
    <row r="54" spans="1:20" s="9" customFormat="1" x14ac:dyDescent="0.25">
      <c r="A54" s="96">
        <v>45</v>
      </c>
      <c r="B54" s="127">
        <v>44286</v>
      </c>
      <c r="C54" s="29" t="s">
        <v>11</v>
      </c>
      <c r="D54" s="127">
        <v>44286</v>
      </c>
      <c r="E54" s="149" t="s">
        <v>827</v>
      </c>
      <c r="F54" s="129"/>
      <c r="G54" s="33" t="s">
        <v>828</v>
      </c>
      <c r="H54" s="137"/>
      <c r="I54" s="137"/>
      <c r="J54" s="137">
        <f>+'INVENTARIO ENERO-MARZO 2021'!$H54-'INVENTARIO ENERO-MARZO 2021'!$I54</f>
        <v>0</v>
      </c>
      <c r="K54" s="137"/>
      <c r="L54" s="137">
        <v>50</v>
      </c>
      <c r="M54" s="137"/>
      <c r="N54" s="137"/>
      <c r="O54" s="132">
        <f>+Tabla1[[#This Row],[STOCK    FISICO ENERO 2021]]-Tabla1[[#This Row],[REQUISICIONES FEBRERO 2021]]</f>
        <v>0</v>
      </c>
      <c r="P54" s="132">
        <f>+Tabla1[[#This Row],[STOCK  FEBRERO 2021]]-Tabla1[[#This Row],[REQUISICIONES MARZO 2021]]+Tabla1[[#This Row],[ENTRADAS MARZO 2021]]</f>
        <v>50</v>
      </c>
      <c r="Q54" s="31" t="s">
        <v>37</v>
      </c>
      <c r="R54" s="133">
        <v>32</v>
      </c>
      <c r="S54" s="100">
        <f t="shared" si="0"/>
        <v>37.76</v>
      </c>
      <c r="T54" s="100">
        <f>Tabla1[[#This Row],[STOCK MARZO ]]*Tabla1[[#This Row],[COSTO UNITARIO SIN ITBIS]]</f>
        <v>1600</v>
      </c>
    </row>
    <row r="55" spans="1:20" s="9" customFormat="1" x14ac:dyDescent="0.25">
      <c r="A55" s="96">
        <v>46</v>
      </c>
      <c r="B55" s="32">
        <v>43440</v>
      </c>
      <c r="C55" s="29" t="s">
        <v>11</v>
      </c>
      <c r="D55" s="32">
        <v>43440</v>
      </c>
      <c r="E55" s="148"/>
      <c r="F55" s="29">
        <v>1377</v>
      </c>
      <c r="G55" s="33" t="s">
        <v>49</v>
      </c>
      <c r="H55" s="47">
        <v>200</v>
      </c>
      <c r="I55" s="47">
        <f>3+1</f>
        <v>4</v>
      </c>
      <c r="J55" s="47">
        <f>+'INVENTARIO ENERO-MARZO 2021'!$H55-'INVENTARIO ENERO-MARZO 2021'!$I55</f>
        <v>196</v>
      </c>
      <c r="K55" s="47"/>
      <c r="L55" s="47"/>
      <c r="M55" s="47">
        <f>3+3+2+2+2+5+5+3+3+4</f>
        <v>32</v>
      </c>
      <c r="N55" s="47">
        <f>1+3+61+5+1+3+2+4+1+6+2</f>
        <v>89</v>
      </c>
      <c r="O55" s="47">
        <f>+Tabla1[[#This Row],[STOCK    FISICO ENERO 2021]]-Tabla1[[#This Row],[REQUISICIONES FEBRERO 2021]]</f>
        <v>164</v>
      </c>
      <c r="P55" s="47">
        <f>+Tabla1[[#This Row],[STOCK  FEBRERO 2021]]-Tabla1[[#This Row],[REQUISICIONES MARZO 2021]]+Tabla1[[#This Row],[ENTRADAS MARZO 2021]]</f>
        <v>75</v>
      </c>
      <c r="Q55" s="31" t="s">
        <v>12</v>
      </c>
      <c r="R55" s="35">
        <v>23.6</v>
      </c>
      <c r="S55" s="36">
        <f t="shared" si="0"/>
        <v>27.848000000000003</v>
      </c>
      <c r="T55" s="100">
        <f>Tabla1[[#This Row],[STOCK MARZO ]]*Tabla1[[#This Row],[COSTO UNITARIO SIN ITBIS]]</f>
        <v>1770</v>
      </c>
    </row>
    <row r="56" spans="1:20" s="9" customFormat="1" x14ac:dyDescent="0.25">
      <c r="A56" s="96">
        <v>47</v>
      </c>
      <c r="B56" s="32">
        <v>43388</v>
      </c>
      <c r="C56" s="29" t="s">
        <v>11</v>
      </c>
      <c r="D56" s="32">
        <v>43388</v>
      </c>
      <c r="E56" s="148"/>
      <c r="F56" s="29">
        <v>1424</v>
      </c>
      <c r="G56" s="33" t="s">
        <v>50</v>
      </c>
      <c r="H56" s="34">
        <v>63</v>
      </c>
      <c r="I56" s="34"/>
      <c r="J56" s="34">
        <f>+'INVENTARIO ENERO-MARZO 2021'!$H56-'INVENTARIO ENERO-MARZO 2021'!$I56</f>
        <v>63</v>
      </c>
      <c r="K56" s="34"/>
      <c r="L56" s="34"/>
      <c r="M56" s="34"/>
      <c r="N56" s="34"/>
      <c r="O56" s="34">
        <f>+Tabla1[[#This Row],[STOCK    FISICO ENERO 2021]]-Tabla1[[#This Row],[REQUISICIONES FEBRERO 2021]]</f>
        <v>63</v>
      </c>
      <c r="P56" s="34">
        <f>+Tabla1[[#This Row],[STOCK  FEBRERO 2021]]-Tabla1[[#This Row],[REQUISICIONES MARZO 2021]]+Tabla1[[#This Row],[ENTRADAS MARZO 2021]]</f>
        <v>63</v>
      </c>
      <c r="Q56" s="31" t="s">
        <v>51</v>
      </c>
      <c r="R56" s="35">
        <v>424.8</v>
      </c>
      <c r="S56" s="36">
        <f t="shared" ref="S56:S99" si="1">R56*0.18+R56</f>
        <v>501.26400000000001</v>
      </c>
      <c r="T56" s="100">
        <f>Tabla1[[#This Row],[STOCK MARZO ]]*Tabla1[[#This Row],[COSTO UNITARIO SIN ITBIS]]</f>
        <v>26762.400000000001</v>
      </c>
    </row>
    <row r="57" spans="1:20" s="9" customFormat="1" x14ac:dyDescent="0.25">
      <c r="A57" s="96">
        <v>48</v>
      </c>
      <c r="B57" s="32">
        <v>43440</v>
      </c>
      <c r="C57" s="29" t="s">
        <v>11</v>
      </c>
      <c r="D57" s="32">
        <v>43440</v>
      </c>
      <c r="E57" s="148"/>
      <c r="F57" s="29">
        <v>1391</v>
      </c>
      <c r="G57" s="33" t="s">
        <v>52</v>
      </c>
      <c r="H57" s="34">
        <f>89+72</f>
        <v>161</v>
      </c>
      <c r="I57" s="34"/>
      <c r="J57" s="34">
        <f>+'INVENTARIO ENERO-MARZO 2021'!$H57-'INVENTARIO ENERO-MARZO 2021'!$I57</f>
        <v>161</v>
      </c>
      <c r="K57" s="34"/>
      <c r="L57" s="34"/>
      <c r="M57" s="34">
        <f>1+1+1+1+2</f>
        <v>6</v>
      </c>
      <c r="N57" s="34">
        <v>2</v>
      </c>
      <c r="O57" s="34">
        <f>+Tabla1[[#This Row],[STOCK    FISICO ENERO 2021]]-Tabla1[[#This Row],[REQUISICIONES FEBRERO 2021]]</f>
        <v>155</v>
      </c>
      <c r="P57" s="34">
        <f>+Tabla1[[#This Row],[STOCK  FEBRERO 2021]]-Tabla1[[#This Row],[REQUISICIONES MARZO 2021]]+Tabla1[[#This Row],[ENTRADAS MARZO 2021]]</f>
        <v>153</v>
      </c>
      <c r="Q57" s="31" t="s">
        <v>12</v>
      </c>
      <c r="R57" s="35">
        <v>62</v>
      </c>
      <c r="S57" s="36">
        <f t="shared" si="1"/>
        <v>73.16</v>
      </c>
      <c r="T57" s="100">
        <f>Tabla1[[#This Row],[STOCK MARZO ]]*Tabla1[[#This Row],[COSTO UNITARIO SIN ITBIS]]</f>
        <v>9486</v>
      </c>
    </row>
    <row r="58" spans="1:20" s="9" customFormat="1" x14ac:dyDescent="0.25">
      <c r="A58" s="96">
        <v>49</v>
      </c>
      <c r="B58" s="43">
        <v>43440</v>
      </c>
      <c r="C58" s="42" t="s">
        <v>11</v>
      </c>
      <c r="D58" s="43">
        <v>43440</v>
      </c>
      <c r="E58" s="150"/>
      <c r="F58" s="44">
        <v>1074</v>
      </c>
      <c r="G58" s="41" t="s">
        <v>53</v>
      </c>
      <c r="H58" s="41">
        <v>505</v>
      </c>
      <c r="I58" s="41"/>
      <c r="J58" s="41">
        <f>+'INVENTARIO ENERO-MARZO 2021'!$H58-'INVENTARIO ENERO-MARZO 2021'!$I58</f>
        <v>505</v>
      </c>
      <c r="K58" s="41"/>
      <c r="L58" s="41"/>
      <c r="M58" s="41"/>
      <c r="N58" s="41"/>
      <c r="O58" s="41">
        <f>+Tabla1[[#This Row],[STOCK    FISICO ENERO 2021]]-Tabla1[[#This Row],[REQUISICIONES FEBRERO 2021]]</f>
        <v>505</v>
      </c>
      <c r="P58" s="41">
        <f>+Tabla1[[#This Row],[STOCK  FEBRERO 2021]]-Tabla1[[#This Row],[REQUISICIONES MARZO 2021]]+Tabla1[[#This Row],[ENTRADAS MARZO 2021]]</f>
        <v>505</v>
      </c>
      <c r="Q58" s="41" t="s">
        <v>12</v>
      </c>
      <c r="R58" s="46">
        <v>9.06</v>
      </c>
      <c r="S58" s="36">
        <f t="shared" si="1"/>
        <v>10.690800000000001</v>
      </c>
      <c r="T58" s="100">
        <f>Tabla1[[#This Row],[STOCK MARZO ]]*Tabla1[[#This Row],[COSTO UNITARIO SIN ITBIS]]</f>
        <v>4575.3</v>
      </c>
    </row>
    <row r="59" spans="1:20" s="9" customFormat="1" x14ac:dyDescent="0.25">
      <c r="A59" s="96">
        <v>50</v>
      </c>
      <c r="B59" s="32">
        <v>44286</v>
      </c>
      <c r="C59" s="29" t="s">
        <v>11</v>
      </c>
      <c r="D59" s="32">
        <v>44286</v>
      </c>
      <c r="E59" s="148" t="s">
        <v>827</v>
      </c>
      <c r="F59" s="45"/>
      <c r="G59" s="33" t="s">
        <v>54</v>
      </c>
      <c r="H59" s="34"/>
      <c r="I59" s="34"/>
      <c r="J59" s="34">
        <v>0</v>
      </c>
      <c r="K59" s="34"/>
      <c r="L59" s="34">
        <f>1*100</f>
        <v>100</v>
      </c>
      <c r="M59" s="34"/>
      <c r="N59" s="34"/>
      <c r="O59" s="34">
        <f>+Tabla1[[#This Row],[STOCK    FISICO ENERO 2021]]-Tabla1[[#This Row],[REQUISICIONES FEBRERO 2021]]</f>
        <v>0</v>
      </c>
      <c r="P59" s="34">
        <f>+Tabla1[[#This Row],[STOCK  FEBRERO 2021]]-Tabla1[[#This Row],[REQUISICIONES MARZO 2021]]+Tabla1[[#This Row],[ENTRADAS MARZO 2021]]</f>
        <v>100</v>
      </c>
      <c r="Q59" s="31" t="s">
        <v>12</v>
      </c>
      <c r="R59" s="46">
        <v>2.5</v>
      </c>
      <c r="S59" s="100">
        <f t="shared" si="1"/>
        <v>2.95</v>
      </c>
      <c r="T59" s="100">
        <f>Tabla1[[#This Row],[STOCK MARZO ]]*Tabla1[[#This Row],[COSTO UNITARIO SIN ITBIS]]</f>
        <v>250</v>
      </c>
    </row>
    <row r="60" spans="1:20" s="9" customFormat="1" x14ac:dyDescent="0.25">
      <c r="A60" s="96">
        <v>51</v>
      </c>
      <c r="B60" s="32">
        <v>44285</v>
      </c>
      <c r="C60" s="29" t="s">
        <v>11</v>
      </c>
      <c r="D60" s="32">
        <v>44285</v>
      </c>
      <c r="E60" s="148" t="s">
        <v>797</v>
      </c>
      <c r="F60" s="29"/>
      <c r="G60" s="33" t="s">
        <v>55</v>
      </c>
      <c r="H60" s="34"/>
      <c r="I60" s="34"/>
      <c r="J60" s="34">
        <f>+'INVENTARIO ENERO-MARZO 2021'!$H60-'INVENTARIO ENERO-MARZO 2021'!$I60</f>
        <v>0</v>
      </c>
      <c r="K60" s="34"/>
      <c r="L60" s="34">
        <v>100</v>
      </c>
      <c r="M60" s="34"/>
      <c r="N60" s="34"/>
      <c r="O60" s="34">
        <f>+Tabla1[[#This Row],[STOCK    FISICO ENERO 2021]]-Tabla1[[#This Row],[REQUISICIONES FEBRERO 2021]]</f>
        <v>0</v>
      </c>
      <c r="P60" s="34">
        <f>+Tabla1[[#This Row],[STOCK  FEBRERO 2021]]-Tabla1[[#This Row],[REQUISICIONES MARZO 2021]]+Tabla1[[#This Row],[ENTRADAS MARZO 2021]]</f>
        <v>100</v>
      </c>
      <c r="Q60" s="31" t="s">
        <v>12</v>
      </c>
      <c r="R60" s="35">
        <v>2.1</v>
      </c>
      <c r="S60" s="100">
        <f t="shared" si="1"/>
        <v>2.4780000000000002</v>
      </c>
      <c r="T60" s="100">
        <f>Tabla1[[#This Row],[STOCK MARZO ]]*Tabla1[[#This Row],[COSTO UNITARIO SIN ITBIS]]</f>
        <v>210</v>
      </c>
    </row>
    <row r="61" spans="1:20" s="9" customFormat="1" x14ac:dyDescent="0.25">
      <c r="A61" s="96">
        <v>52</v>
      </c>
      <c r="B61" s="32">
        <v>44109</v>
      </c>
      <c r="C61" s="29" t="s">
        <v>11</v>
      </c>
      <c r="D61" s="32">
        <v>44109</v>
      </c>
      <c r="E61" s="148"/>
      <c r="F61" s="45" t="s">
        <v>23</v>
      </c>
      <c r="G61" s="41" t="s">
        <v>56</v>
      </c>
      <c r="H61" s="41">
        <v>936</v>
      </c>
      <c r="I61" s="41"/>
      <c r="J61" s="41">
        <f>+'INVENTARIO ENERO-MARZO 2021'!$H61-'INVENTARIO ENERO-MARZO 2021'!$I61</f>
        <v>936</v>
      </c>
      <c r="K61" s="41"/>
      <c r="L61" s="41"/>
      <c r="M61" s="41">
        <v>5</v>
      </c>
      <c r="N61" s="41">
        <f>4+5+5</f>
        <v>14</v>
      </c>
      <c r="O61" s="41">
        <f>+Tabla1[[#This Row],[STOCK    FISICO ENERO 2021]]-Tabla1[[#This Row],[REQUISICIONES FEBRERO 2021]]</f>
        <v>931</v>
      </c>
      <c r="P61" s="41">
        <f>+Tabla1[[#This Row],[STOCK  FEBRERO 2021]]-Tabla1[[#This Row],[REQUISICIONES MARZO 2021]]+Tabla1[[#This Row],[ENTRADAS MARZO 2021]]</f>
        <v>917</v>
      </c>
      <c r="Q61" s="31" t="s">
        <v>12</v>
      </c>
      <c r="R61" s="46">
        <v>14</v>
      </c>
      <c r="S61" s="36">
        <f t="shared" si="1"/>
        <v>16.52</v>
      </c>
      <c r="T61" s="100">
        <f>Tabla1[[#This Row],[STOCK MARZO ]]*Tabla1[[#This Row],[COSTO UNITARIO SIN ITBIS]]</f>
        <v>12838</v>
      </c>
    </row>
    <row r="62" spans="1:20" s="9" customFormat="1" x14ac:dyDescent="0.25">
      <c r="A62" s="96">
        <v>53</v>
      </c>
      <c r="B62" s="32">
        <v>44109</v>
      </c>
      <c r="C62" s="29" t="s">
        <v>11</v>
      </c>
      <c r="D62" s="32">
        <v>44109</v>
      </c>
      <c r="E62" s="148"/>
      <c r="F62" s="45" t="s">
        <v>23</v>
      </c>
      <c r="G62" s="41" t="s">
        <v>57</v>
      </c>
      <c r="H62" s="41"/>
      <c r="I62" s="41"/>
      <c r="J62" s="41">
        <f>+'INVENTARIO ENERO-MARZO 2021'!$H62-'INVENTARIO ENERO-MARZO 2021'!$I62</f>
        <v>0</v>
      </c>
      <c r="K62" s="41"/>
      <c r="L62" s="41"/>
      <c r="M62" s="41"/>
      <c r="N62" s="41"/>
      <c r="O62" s="41">
        <f>+Tabla1[[#This Row],[STOCK    FISICO ENERO 2021]]-Tabla1[[#This Row],[REQUISICIONES FEBRERO 2021]]</f>
        <v>0</v>
      </c>
      <c r="P62" s="41">
        <f>+Tabla1[[#This Row],[STOCK  FEBRERO 2021]]-Tabla1[[#This Row],[REQUISICIONES MARZO 2021]]+Tabla1[[#This Row],[ENTRADAS MARZO 2021]]</f>
        <v>0</v>
      </c>
      <c r="Q62" s="31" t="s">
        <v>12</v>
      </c>
      <c r="R62" s="46">
        <v>14</v>
      </c>
      <c r="S62" s="36">
        <f t="shared" si="1"/>
        <v>16.52</v>
      </c>
      <c r="T62" s="100">
        <f>Tabla1[[#This Row],[STOCK MARZO ]]*Tabla1[[#This Row],[COSTO UNITARIO SIN ITBIS]]</f>
        <v>0</v>
      </c>
    </row>
    <row r="63" spans="1:20" s="9" customFormat="1" x14ac:dyDescent="0.25">
      <c r="A63" s="96">
        <v>54</v>
      </c>
      <c r="B63" s="32">
        <v>43647</v>
      </c>
      <c r="C63" s="29" t="s">
        <v>11</v>
      </c>
      <c r="D63" s="32">
        <v>43752</v>
      </c>
      <c r="E63" s="148"/>
      <c r="F63" s="29">
        <v>1491</v>
      </c>
      <c r="G63" s="41" t="s">
        <v>58</v>
      </c>
      <c r="H63" s="41">
        <v>576</v>
      </c>
      <c r="I63" s="41"/>
      <c r="J63" s="41">
        <f>+'INVENTARIO ENERO-MARZO 2021'!$H63-'INVENTARIO ENERO-MARZO 2021'!$I63</f>
        <v>576</v>
      </c>
      <c r="K63" s="41"/>
      <c r="L63" s="41"/>
      <c r="M63" s="41"/>
      <c r="N63" s="41"/>
      <c r="O63" s="41">
        <f>+Tabla1[[#This Row],[STOCK    FISICO ENERO 2021]]-Tabla1[[#This Row],[REQUISICIONES FEBRERO 2021]]</f>
        <v>576</v>
      </c>
      <c r="P63" s="41">
        <f>+Tabla1[[#This Row],[STOCK  FEBRERO 2021]]-Tabla1[[#This Row],[REQUISICIONES MARZO 2021]]+Tabla1[[#This Row],[ENTRADAS MARZO 2021]]</f>
        <v>576</v>
      </c>
      <c r="Q63" s="31" t="s">
        <v>12</v>
      </c>
      <c r="R63" s="46">
        <v>14.5</v>
      </c>
      <c r="S63" s="36">
        <f t="shared" si="1"/>
        <v>17.11</v>
      </c>
      <c r="T63" s="100">
        <f>Tabla1[[#This Row],[STOCK MARZO ]]*Tabla1[[#This Row],[COSTO UNITARIO SIN ITBIS]]</f>
        <v>8352</v>
      </c>
    </row>
    <row r="64" spans="1:20" s="9" customFormat="1" x14ac:dyDescent="0.25">
      <c r="A64" s="96">
        <v>55</v>
      </c>
      <c r="B64" s="32">
        <v>43440</v>
      </c>
      <c r="C64" s="29" t="s">
        <v>11</v>
      </c>
      <c r="D64" s="32">
        <v>43440</v>
      </c>
      <c r="E64" s="148"/>
      <c r="F64" s="29">
        <v>1378</v>
      </c>
      <c r="G64" s="41" t="s">
        <v>59</v>
      </c>
      <c r="H64" s="47">
        <v>12480</v>
      </c>
      <c r="I64" s="47">
        <f>100+100+100</f>
        <v>300</v>
      </c>
      <c r="J64" s="47">
        <f>+'INVENTARIO ENERO-MARZO 2021'!$H64-'INVENTARIO ENERO-MARZO 2021'!$I64</f>
        <v>12180</v>
      </c>
      <c r="K64" s="47"/>
      <c r="L64" s="47"/>
      <c r="M64" s="47">
        <f>100+100+100+50+100+12+100+100+100+100+100+100+100+100+100+100+100+100+50+50+100+100+100</f>
        <v>2062</v>
      </c>
      <c r="N64" s="47">
        <f>10+100+100+100+25+3+30+100+100+25+200+30+100+100+100+800+100</f>
        <v>2023</v>
      </c>
      <c r="O64" s="47">
        <f>+Tabla1[[#This Row],[STOCK    FISICO ENERO 2021]]-Tabla1[[#This Row],[REQUISICIONES FEBRERO 2021]]</f>
        <v>10118</v>
      </c>
      <c r="P64" s="47">
        <f>+Tabla1[[#This Row],[STOCK  FEBRERO 2021]]-Tabla1[[#This Row],[REQUISICIONES MARZO 2021]]+Tabla1[[#This Row],[ENTRADAS MARZO 2021]]</f>
        <v>8095</v>
      </c>
      <c r="Q64" s="31" t="s">
        <v>12</v>
      </c>
      <c r="R64" s="35">
        <v>2.1</v>
      </c>
      <c r="S64" s="36">
        <f t="shared" si="1"/>
        <v>2.4780000000000002</v>
      </c>
      <c r="T64" s="100">
        <f>Tabla1[[#This Row],[STOCK MARZO ]]*Tabla1[[#This Row],[COSTO UNITARIO SIN ITBIS]]</f>
        <v>16999.5</v>
      </c>
    </row>
    <row r="65" spans="1:20" s="9" customFormat="1" x14ac:dyDescent="0.25">
      <c r="A65" s="96">
        <v>56</v>
      </c>
      <c r="B65" s="43">
        <v>44109</v>
      </c>
      <c r="C65" s="29" t="s">
        <v>11</v>
      </c>
      <c r="D65" s="43">
        <v>44109</v>
      </c>
      <c r="E65" s="150"/>
      <c r="F65" s="45" t="s">
        <v>23</v>
      </c>
      <c r="G65" s="41" t="s">
        <v>60</v>
      </c>
      <c r="H65" s="41"/>
      <c r="I65" s="41"/>
      <c r="J65" s="41">
        <f>+'INVENTARIO ENERO-MARZO 2021'!$H65-'INVENTARIO ENERO-MARZO 2021'!$I65</f>
        <v>0</v>
      </c>
      <c r="K65" s="41"/>
      <c r="L65" s="41"/>
      <c r="M65" s="41"/>
      <c r="N65" s="41"/>
      <c r="O65" s="41">
        <f>+Tabla1[[#This Row],[STOCK    FISICO ENERO 2021]]-Tabla1[[#This Row],[REQUISICIONES FEBRERO 2021]]</f>
        <v>0</v>
      </c>
      <c r="P65" s="41">
        <f>+Tabla1[[#This Row],[STOCK  FEBRERO 2021]]-Tabla1[[#This Row],[REQUISICIONES MARZO 2021]]+Tabla1[[#This Row],[ENTRADAS MARZO 2021]]</f>
        <v>0</v>
      </c>
      <c r="Q65" s="41" t="s">
        <v>12</v>
      </c>
      <c r="R65" s="46">
        <v>3</v>
      </c>
      <c r="S65" s="36">
        <f t="shared" si="1"/>
        <v>3.54</v>
      </c>
      <c r="T65" s="100">
        <f>Tabla1[[#This Row],[STOCK MARZO ]]*Tabla1[[#This Row],[COSTO UNITARIO SIN ITBIS]]</f>
        <v>0</v>
      </c>
    </row>
    <row r="66" spans="1:20" s="9" customFormat="1" x14ac:dyDescent="0.25">
      <c r="A66" s="96">
        <v>57</v>
      </c>
      <c r="B66" s="43">
        <v>43440</v>
      </c>
      <c r="C66" s="42" t="s">
        <v>11</v>
      </c>
      <c r="D66" s="43">
        <v>43440</v>
      </c>
      <c r="E66" s="150"/>
      <c r="F66" s="44">
        <v>1086</v>
      </c>
      <c r="G66" s="41" t="s">
        <v>61</v>
      </c>
      <c r="H66" s="50">
        <v>7300</v>
      </c>
      <c r="I66" s="50"/>
      <c r="J66" s="50">
        <f>+'INVENTARIO ENERO-MARZO 2021'!$H66-'INVENTARIO ENERO-MARZO 2021'!$I66</f>
        <v>7300</v>
      </c>
      <c r="K66" s="50"/>
      <c r="L66" s="50"/>
      <c r="M66" s="50">
        <v>100</v>
      </c>
      <c r="N66" s="50">
        <v>30</v>
      </c>
      <c r="O66" s="50">
        <f>+Tabla1[[#This Row],[STOCK    FISICO ENERO 2021]]-Tabla1[[#This Row],[REQUISICIONES FEBRERO 2021]]</f>
        <v>7200</v>
      </c>
      <c r="P66" s="50">
        <f>+Tabla1[[#This Row],[STOCK  FEBRERO 2021]]-Tabla1[[#This Row],[REQUISICIONES MARZO 2021]]+Tabla1[[#This Row],[ENTRADAS MARZO 2021]]</f>
        <v>7170</v>
      </c>
      <c r="Q66" s="41" t="s">
        <v>12</v>
      </c>
      <c r="R66" s="46">
        <v>4.63</v>
      </c>
      <c r="S66" s="36">
        <f t="shared" si="1"/>
        <v>5.4634</v>
      </c>
      <c r="T66" s="100">
        <f>Tabla1[[#This Row],[STOCK MARZO ]]*Tabla1[[#This Row],[COSTO UNITARIO SIN ITBIS]]</f>
        <v>33197.1</v>
      </c>
    </row>
    <row r="67" spans="1:20" s="9" customFormat="1" x14ac:dyDescent="0.25">
      <c r="A67" s="96">
        <v>58</v>
      </c>
      <c r="B67" s="32">
        <v>43325</v>
      </c>
      <c r="C67" s="29" t="s">
        <v>11</v>
      </c>
      <c r="D67" s="32">
        <v>44055</v>
      </c>
      <c r="E67" s="148"/>
      <c r="F67" s="29">
        <v>1361</v>
      </c>
      <c r="G67" s="39" t="s">
        <v>62</v>
      </c>
      <c r="H67" s="34">
        <f>695+150</f>
        <v>845</v>
      </c>
      <c r="I67" s="34"/>
      <c r="J67" s="34">
        <f>+'INVENTARIO ENERO-MARZO 2021'!$H67-'INVENTARIO ENERO-MARZO 2021'!$I67</f>
        <v>845</v>
      </c>
      <c r="K67" s="34"/>
      <c r="L67" s="34"/>
      <c r="M67" s="34"/>
      <c r="N67" s="34"/>
      <c r="O67" s="34">
        <f>+Tabla1[[#This Row],[STOCK    FISICO ENERO 2021]]-Tabla1[[#This Row],[REQUISICIONES FEBRERO 2021]]</f>
        <v>845</v>
      </c>
      <c r="P67" s="34">
        <f>+Tabla1[[#This Row],[STOCK  FEBRERO 2021]]-Tabla1[[#This Row],[REQUISICIONES MARZO 2021]]+Tabla1[[#This Row],[ENTRADAS MARZO 2021]]</f>
        <v>845</v>
      </c>
      <c r="Q67" s="31" t="s">
        <v>12</v>
      </c>
      <c r="R67" s="35">
        <v>88.5</v>
      </c>
      <c r="S67" s="36">
        <f t="shared" si="1"/>
        <v>104.43</v>
      </c>
      <c r="T67" s="100">
        <f>Tabla1[[#This Row],[STOCK MARZO ]]*Tabla1[[#This Row],[COSTO UNITARIO SIN ITBIS]]</f>
        <v>74782.5</v>
      </c>
    </row>
    <row r="68" spans="1:20" s="9" customFormat="1" x14ac:dyDescent="0.25">
      <c r="A68" s="96">
        <v>59</v>
      </c>
      <c r="B68" s="32">
        <v>43671</v>
      </c>
      <c r="C68" s="29" t="s">
        <v>11</v>
      </c>
      <c r="D68" s="32">
        <v>43671</v>
      </c>
      <c r="E68" s="148"/>
      <c r="F68" s="29">
        <v>1479</v>
      </c>
      <c r="G68" s="33" t="s">
        <v>63</v>
      </c>
      <c r="H68" s="34">
        <v>175</v>
      </c>
      <c r="I68" s="34">
        <v>20</v>
      </c>
      <c r="J68" s="34">
        <f>+'INVENTARIO ENERO-MARZO 2021'!$H68-'INVENTARIO ENERO-MARZO 2021'!$I68</f>
        <v>155</v>
      </c>
      <c r="K68" s="34"/>
      <c r="L68" s="34"/>
      <c r="M68" s="34"/>
      <c r="N68" s="34">
        <f>10+10</f>
        <v>20</v>
      </c>
      <c r="O68" s="34">
        <f>+Tabla1[[#This Row],[STOCK    FISICO ENERO 2021]]-Tabla1[[#This Row],[REQUISICIONES FEBRERO 2021]]</f>
        <v>155</v>
      </c>
      <c r="P68" s="34">
        <f>+Tabla1[[#This Row],[STOCK  FEBRERO 2021]]-Tabla1[[#This Row],[REQUISICIONES MARZO 2021]]+Tabla1[[#This Row],[ENTRADAS MARZO 2021]]</f>
        <v>135</v>
      </c>
      <c r="Q68" s="31" t="s">
        <v>12</v>
      </c>
      <c r="R68" s="35">
        <v>34.549999999999997</v>
      </c>
      <c r="S68" s="36">
        <f t="shared" si="1"/>
        <v>40.768999999999998</v>
      </c>
      <c r="T68" s="100">
        <f>Tabla1[[#This Row],[STOCK MARZO ]]*Tabla1[[#This Row],[COSTO UNITARIO SIN ITBIS]]</f>
        <v>4664.25</v>
      </c>
    </row>
    <row r="69" spans="1:20" s="9" customFormat="1" x14ac:dyDescent="0.25">
      <c r="A69" s="96">
        <v>60</v>
      </c>
      <c r="B69" s="127">
        <v>44286</v>
      </c>
      <c r="C69" s="29" t="s">
        <v>11</v>
      </c>
      <c r="D69" s="127">
        <v>44286</v>
      </c>
      <c r="E69" s="149" t="s">
        <v>827</v>
      </c>
      <c r="F69" s="129"/>
      <c r="G69" s="33" t="s">
        <v>832</v>
      </c>
      <c r="H69" s="131"/>
      <c r="I69" s="131"/>
      <c r="J69" s="131">
        <f>+'INVENTARIO ENERO-MARZO 2021'!$H69-'INVENTARIO ENERO-MARZO 2021'!$I69</f>
        <v>0</v>
      </c>
      <c r="K69" s="131"/>
      <c r="L69" s="131">
        <v>75</v>
      </c>
      <c r="M69" s="131"/>
      <c r="N69" s="131"/>
      <c r="O69" s="132">
        <f>+Tabla1[[#This Row],[STOCK    FISICO ENERO 2021]]-Tabla1[[#This Row],[REQUISICIONES FEBRERO 2021]]</f>
        <v>0</v>
      </c>
      <c r="P69" s="132">
        <f>+Tabla1[[#This Row],[STOCK  FEBRERO 2021]]-Tabla1[[#This Row],[REQUISICIONES MARZO 2021]]+Tabla1[[#This Row],[ENTRADAS MARZO 2021]]</f>
        <v>75</v>
      </c>
      <c r="Q69" s="31" t="s">
        <v>12</v>
      </c>
      <c r="R69" s="133">
        <v>20</v>
      </c>
      <c r="S69" s="100">
        <f t="shared" si="1"/>
        <v>23.6</v>
      </c>
      <c r="T69" s="100">
        <f>Tabla1[[#This Row],[STOCK MARZO ]]*Tabla1[[#This Row],[COSTO UNITARIO SIN ITBIS]]</f>
        <v>1500</v>
      </c>
    </row>
    <row r="70" spans="1:20" s="9" customFormat="1" x14ac:dyDescent="0.25">
      <c r="A70" s="96">
        <v>61</v>
      </c>
      <c r="B70" s="32">
        <v>43671</v>
      </c>
      <c r="C70" s="29" t="s">
        <v>11</v>
      </c>
      <c r="D70" s="32">
        <v>43671</v>
      </c>
      <c r="E70" s="148"/>
      <c r="F70" s="29">
        <v>1477</v>
      </c>
      <c r="G70" s="33" t="s">
        <v>64</v>
      </c>
      <c r="H70" s="47">
        <v>2000</v>
      </c>
      <c r="I70" s="47"/>
      <c r="J70" s="47">
        <f>+'INVENTARIO ENERO-MARZO 2021'!$H70-'INVENTARIO ENERO-MARZO 2021'!$I70</f>
        <v>2000</v>
      </c>
      <c r="K70" s="47"/>
      <c r="L70" s="47"/>
      <c r="M70" s="47"/>
      <c r="N70" s="47"/>
      <c r="O70" s="47">
        <f>+Tabla1[[#This Row],[STOCK    FISICO ENERO 2021]]-Tabla1[[#This Row],[REQUISICIONES FEBRERO 2021]]</f>
        <v>2000</v>
      </c>
      <c r="P70" s="47">
        <f>+Tabla1[[#This Row],[STOCK  FEBRERO 2021]]-Tabla1[[#This Row],[REQUISICIONES MARZO 2021]]+Tabla1[[#This Row],[ENTRADAS MARZO 2021]]</f>
        <v>2000</v>
      </c>
      <c r="Q70" s="31" t="s">
        <v>12</v>
      </c>
      <c r="R70" s="35">
        <v>4.5999999999999996</v>
      </c>
      <c r="S70" s="36">
        <f t="shared" si="1"/>
        <v>5.4279999999999999</v>
      </c>
      <c r="T70" s="100">
        <f>Tabla1[[#This Row],[STOCK MARZO ]]*Tabla1[[#This Row],[COSTO UNITARIO SIN ITBIS]]</f>
        <v>9200</v>
      </c>
    </row>
    <row r="71" spans="1:20" s="9" customFormat="1" x14ac:dyDescent="0.25">
      <c r="A71" s="96">
        <v>62</v>
      </c>
      <c r="B71" s="32">
        <v>43671</v>
      </c>
      <c r="C71" s="29" t="s">
        <v>11</v>
      </c>
      <c r="D71" s="32">
        <v>43671</v>
      </c>
      <c r="E71" s="148"/>
      <c r="F71" s="29">
        <v>1478</v>
      </c>
      <c r="G71" s="33" t="s">
        <v>65</v>
      </c>
      <c r="H71" s="34">
        <f>300+2000</f>
        <v>2300</v>
      </c>
      <c r="I71" s="34"/>
      <c r="J71" s="34">
        <f>+'INVENTARIO ENERO-MARZO 2021'!$H71-'INVENTARIO ENERO-MARZO 2021'!$I71</f>
        <v>2300</v>
      </c>
      <c r="K71" s="34"/>
      <c r="L71" s="34"/>
      <c r="M71" s="34">
        <v>30</v>
      </c>
      <c r="N71" s="34">
        <v>25</v>
      </c>
      <c r="O71" s="34">
        <f>+Tabla1[[#This Row],[STOCK    FISICO ENERO 2021]]-Tabla1[[#This Row],[REQUISICIONES FEBRERO 2021]]</f>
        <v>2270</v>
      </c>
      <c r="P71" s="34">
        <f>+Tabla1[[#This Row],[STOCK  FEBRERO 2021]]-Tabla1[[#This Row],[REQUISICIONES MARZO 2021]]+Tabla1[[#This Row],[ENTRADAS MARZO 2021]]</f>
        <v>2245</v>
      </c>
      <c r="Q71" s="31" t="s">
        <v>12</v>
      </c>
      <c r="R71" s="35">
        <v>4.5999999999999996</v>
      </c>
      <c r="S71" s="36">
        <f t="shared" si="1"/>
        <v>5.4279999999999999</v>
      </c>
      <c r="T71" s="100">
        <f>Tabla1[[#This Row],[STOCK MARZO ]]*Tabla1[[#This Row],[COSTO UNITARIO SIN ITBIS]]</f>
        <v>10327</v>
      </c>
    </row>
    <row r="72" spans="1:20" s="9" customFormat="1" x14ac:dyDescent="0.25">
      <c r="A72" s="96">
        <v>63</v>
      </c>
      <c r="B72" s="43">
        <v>43440</v>
      </c>
      <c r="C72" s="42" t="s">
        <v>11</v>
      </c>
      <c r="D72" s="43">
        <v>43440</v>
      </c>
      <c r="E72" s="150"/>
      <c r="F72" s="44">
        <v>1091</v>
      </c>
      <c r="G72" s="41" t="s">
        <v>66</v>
      </c>
      <c r="H72" s="41">
        <v>74</v>
      </c>
      <c r="I72" s="41"/>
      <c r="J72" s="41">
        <f>+'INVENTARIO ENERO-MARZO 2021'!$H72-'INVENTARIO ENERO-MARZO 2021'!$I72</f>
        <v>74</v>
      </c>
      <c r="K72" s="41"/>
      <c r="L72" s="41"/>
      <c r="M72" s="41">
        <v>2</v>
      </c>
      <c r="N72" s="41">
        <v>1</v>
      </c>
      <c r="O72" s="41">
        <f>+Tabla1[[#This Row],[STOCK    FISICO ENERO 2021]]-Tabla1[[#This Row],[REQUISICIONES FEBRERO 2021]]</f>
        <v>72</v>
      </c>
      <c r="P72" s="41">
        <f>+Tabla1[[#This Row],[STOCK  FEBRERO 2021]]-Tabla1[[#This Row],[REQUISICIONES MARZO 2021]]+Tabla1[[#This Row],[ENTRADAS MARZO 2021]]</f>
        <v>71</v>
      </c>
      <c r="Q72" s="31" t="s">
        <v>12</v>
      </c>
      <c r="R72" s="46">
        <v>73.16</v>
      </c>
      <c r="S72" s="36">
        <f t="shared" si="1"/>
        <v>86.328800000000001</v>
      </c>
      <c r="T72" s="100">
        <f>Tabla1[[#This Row],[STOCK MARZO ]]*Tabla1[[#This Row],[COSTO UNITARIO SIN ITBIS]]</f>
        <v>5194.3599999999997</v>
      </c>
    </row>
    <row r="73" spans="1:20" s="9" customFormat="1" x14ac:dyDescent="0.25">
      <c r="A73" s="96">
        <v>64</v>
      </c>
      <c r="B73" s="127">
        <v>44285</v>
      </c>
      <c r="C73" s="42" t="s">
        <v>11</v>
      </c>
      <c r="D73" s="127">
        <v>44285</v>
      </c>
      <c r="E73" s="149" t="s">
        <v>797</v>
      </c>
      <c r="F73" s="129"/>
      <c r="G73" s="41" t="s">
        <v>66</v>
      </c>
      <c r="H73" s="131"/>
      <c r="I73" s="131"/>
      <c r="J73" s="131">
        <f>+'INVENTARIO ENERO-MARZO 2021'!$H73-'INVENTARIO ENERO-MARZO 2021'!$I73</f>
        <v>0</v>
      </c>
      <c r="K73" s="131"/>
      <c r="L73" s="131">
        <f>26*50</f>
        <v>1300</v>
      </c>
      <c r="M73" s="131"/>
      <c r="N73" s="131"/>
      <c r="O73" s="132">
        <f>+Tabla1[[#This Row],[STOCK    FISICO ENERO 2021]]-Tabla1[[#This Row],[REQUISICIONES FEBRERO 2021]]</f>
        <v>0</v>
      </c>
      <c r="P73" s="132">
        <f>+Tabla1[[#This Row],[STOCK  FEBRERO 2021]]-Tabla1[[#This Row],[REQUISICIONES MARZO 2021]]+Tabla1[[#This Row],[ENTRADAS MARZO 2021]]</f>
        <v>1300</v>
      </c>
      <c r="Q73" s="31" t="s">
        <v>12</v>
      </c>
      <c r="R73" s="133">
        <f>46.5/50</f>
        <v>0.93</v>
      </c>
      <c r="S73" s="100">
        <f t="shared" si="1"/>
        <v>1.0973999999999999</v>
      </c>
      <c r="T73" s="100">
        <f>Tabla1[[#This Row],[STOCK MARZO ]]*Tabla1[[#This Row],[COSTO UNITARIO SIN ITBIS]]</f>
        <v>1209</v>
      </c>
    </row>
    <row r="74" spans="1:20" s="9" customFormat="1" x14ac:dyDescent="0.25">
      <c r="A74" s="96">
        <v>65</v>
      </c>
      <c r="B74" s="43">
        <v>43671</v>
      </c>
      <c r="C74" s="42" t="s">
        <v>11</v>
      </c>
      <c r="D74" s="43">
        <v>43671</v>
      </c>
      <c r="E74" s="150"/>
      <c r="F74" s="44">
        <v>1094</v>
      </c>
      <c r="G74" s="41" t="s">
        <v>67</v>
      </c>
      <c r="H74" s="41">
        <v>33</v>
      </c>
      <c r="I74" s="41">
        <f>1+2</f>
        <v>3</v>
      </c>
      <c r="J74" s="41">
        <f>+'INVENTARIO ENERO-MARZO 2021'!$H74-'INVENTARIO ENERO-MARZO 2021'!$I74</f>
        <v>30</v>
      </c>
      <c r="K74" s="41"/>
      <c r="L74" s="41"/>
      <c r="M74" s="41">
        <f>2+1+2+1+2+3+1+1+2+2</f>
        <v>17</v>
      </c>
      <c r="N74" s="41">
        <f>1+1+1+3+1+1+1+1+1+1</f>
        <v>12</v>
      </c>
      <c r="O74" s="41">
        <f>+Tabla1[[#This Row],[STOCK    FISICO ENERO 2021]]-Tabla1[[#This Row],[REQUISICIONES FEBRERO 2021]]</f>
        <v>13</v>
      </c>
      <c r="P74" s="41">
        <f>+Tabla1[[#This Row],[STOCK  FEBRERO 2021]]-Tabla1[[#This Row],[REQUISICIONES MARZO 2021]]+Tabla1[[#This Row],[ENTRADAS MARZO 2021]]</f>
        <v>1</v>
      </c>
      <c r="Q74" s="41" t="s">
        <v>37</v>
      </c>
      <c r="R74" s="46">
        <v>18.29</v>
      </c>
      <c r="S74" s="36">
        <f t="shared" si="1"/>
        <v>21.5822</v>
      </c>
      <c r="T74" s="100">
        <f>Tabla1[[#This Row],[STOCK MARZO ]]*Tabla1[[#This Row],[COSTO UNITARIO SIN ITBIS]]</f>
        <v>18.29</v>
      </c>
    </row>
    <row r="75" spans="1:20" s="9" customFormat="1" x14ac:dyDescent="0.25">
      <c r="A75" s="96">
        <v>66</v>
      </c>
      <c r="B75" s="127">
        <v>44286</v>
      </c>
      <c r="C75" s="42" t="s">
        <v>11</v>
      </c>
      <c r="D75" s="127">
        <v>44286</v>
      </c>
      <c r="E75" s="149" t="s">
        <v>814</v>
      </c>
      <c r="F75" s="129"/>
      <c r="G75" s="41" t="s">
        <v>67</v>
      </c>
      <c r="H75" s="131"/>
      <c r="I75" s="131"/>
      <c r="J75" s="131">
        <f>+'INVENTARIO ENERO-MARZO 2021'!$H75-'INVENTARIO ENERO-MARZO 2021'!$I75</f>
        <v>0</v>
      </c>
      <c r="K75" s="131"/>
      <c r="L75" s="131">
        <v>70</v>
      </c>
      <c r="M75" s="131"/>
      <c r="N75" s="131"/>
      <c r="O75" s="132">
        <f>+Tabla1[[#This Row],[STOCK    FISICO ENERO 2021]]-Tabla1[[#This Row],[REQUISICIONES FEBRERO 2021]]</f>
        <v>0</v>
      </c>
      <c r="P75" s="132">
        <f>+Tabla1[[#This Row],[STOCK  FEBRERO 2021]]-Tabla1[[#This Row],[REQUISICIONES MARZO 2021]]+Tabla1[[#This Row],[ENTRADAS MARZO 2021]]</f>
        <v>70</v>
      </c>
      <c r="Q75" s="41" t="s">
        <v>37</v>
      </c>
      <c r="R75" s="133">
        <v>16.16</v>
      </c>
      <c r="S75" s="100">
        <f t="shared" si="1"/>
        <v>19.0688</v>
      </c>
      <c r="T75" s="100">
        <f>Tabla1[[#This Row],[STOCK MARZO ]]*Tabla1[[#This Row],[COSTO UNITARIO SIN ITBIS]]</f>
        <v>1131.2</v>
      </c>
    </row>
    <row r="76" spans="1:20" s="9" customFormat="1" x14ac:dyDescent="0.25">
      <c r="A76" s="96">
        <v>67</v>
      </c>
      <c r="B76" s="43">
        <v>43440</v>
      </c>
      <c r="C76" s="42" t="s">
        <v>11</v>
      </c>
      <c r="D76" s="43">
        <v>43440</v>
      </c>
      <c r="E76" s="150"/>
      <c r="F76" s="44">
        <v>1092</v>
      </c>
      <c r="G76" s="41" t="s">
        <v>68</v>
      </c>
      <c r="H76" s="41">
        <v>170</v>
      </c>
      <c r="I76" s="41">
        <v>2</v>
      </c>
      <c r="J76" s="41">
        <f>+'INVENTARIO ENERO-MARZO 2021'!$H76-'INVENTARIO ENERO-MARZO 2021'!$I76</f>
        <v>168</v>
      </c>
      <c r="K76" s="41"/>
      <c r="L76" s="41"/>
      <c r="M76" s="41"/>
      <c r="N76" s="41">
        <v>1</v>
      </c>
      <c r="O76" s="41">
        <f>+Tabla1[[#This Row],[STOCK    FISICO ENERO 2021]]-Tabla1[[#This Row],[REQUISICIONES FEBRERO 2021]]</f>
        <v>168</v>
      </c>
      <c r="P76" s="41">
        <f>+Tabla1[[#This Row],[STOCK  FEBRERO 2021]]-Tabla1[[#This Row],[REQUISICIONES MARZO 2021]]+Tabla1[[#This Row],[ENTRADAS MARZO 2021]]</f>
        <v>167</v>
      </c>
      <c r="Q76" s="41" t="s">
        <v>37</v>
      </c>
      <c r="R76" s="46">
        <v>46.02</v>
      </c>
      <c r="S76" s="36">
        <f t="shared" si="1"/>
        <v>54.303600000000003</v>
      </c>
      <c r="T76" s="100">
        <f>Tabla1[[#This Row],[STOCK MARZO ]]*Tabla1[[#This Row],[COSTO UNITARIO SIN ITBIS]]</f>
        <v>7685.34</v>
      </c>
    </row>
    <row r="77" spans="1:20" s="9" customFormat="1" x14ac:dyDescent="0.25">
      <c r="A77" s="96">
        <v>68</v>
      </c>
      <c r="B77" s="43">
        <v>43440</v>
      </c>
      <c r="C77" s="42" t="s">
        <v>11</v>
      </c>
      <c r="D77" s="43">
        <v>43440</v>
      </c>
      <c r="E77" s="150"/>
      <c r="F77" s="44">
        <v>1093</v>
      </c>
      <c r="G77" s="41" t="s">
        <v>69</v>
      </c>
      <c r="H77" s="41">
        <v>159</v>
      </c>
      <c r="I77" s="41">
        <f>2+1+1</f>
        <v>4</v>
      </c>
      <c r="J77" s="41">
        <f>+'INVENTARIO ENERO-MARZO 2021'!$H77-'INVENTARIO ENERO-MARZO 2021'!$I77</f>
        <v>155</v>
      </c>
      <c r="K77" s="41"/>
      <c r="L77" s="41"/>
      <c r="M77" s="41">
        <f>1+1+1+1+2+1+1+2</f>
        <v>10</v>
      </c>
      <c r="N77" s="41">
        <f>1+1+1+2+1+2+1</f>
        <v>9</v>
      </c>
      <c r="O77" s="41">
        <f>+Tabla1[[#This Row],[STOCK    FISICO ENERO 2021]]-Tabla1[[#This Row],[REQUISICIONES FEBRERO 2021]]</f>
        <v>145</v>
      </c>
      <c r="P77" s="41">
        <f>+Tabla1[[#This Row],[STOCK  FEBRERO 2021]]-Tabla1[[#This Row],[REQUISICIONES MARZO 2021]]+Tabla1[[#This Row],[ENTRADAS MARZO 2021]]</f>
        <v>136</v>
      </c>
      <c r="Q77" s="41" t="s">
        <v>37</v>
      </c>
      <c r="R77" s="46">
        <v>27.61</v>
      </c>
      <c r="S77" s="36">
        <f t="shared" si="1"/>
        <v>32.579799999999999</v>
      </c>
      <c r="T77" s="100">
        <f>Tabla1[[#This Row],[STOCK MARZO ]]*Tabla1[[#This Row],[COSTO UNITARIO SIN ITBIS]]</f>
        <v>3754.96</v>
      </c>
    </row>
    <row r="78" spans="1:20" s="9" customFormat="1" x14ac:dyDescent="0.25">
      <c r="A78" s="96">
        <v>69</v>
      </c>
      <c r="B78" s="127">
        <v>44285</v>
      </c>
      <c r="C78" s="42" t="s">
        <v>11</v>
      </c>
      <c r="D78" s="127">
        <v>44285</v>
      </c>
      <c r="E78" s="149" t="s">
        <v>797</v>
      </c>
      <c r="F78" s="129"/>
      <c r="G78" s="130" t="s">
        <v>801</v>
      </c>
      <c r="H78" s="131"/>
      <c r="I78" s="131"/>
      <c r="J78" s="131">
        <f>+'INVENTARIO ENERO-MARZO 2021'!$H78-'INVENTARIO ENERO-MARZO 2021'!$I78</f>
        <v>0</v>
      </c>
      <c r="K78" s="131"/>
      <c r="L78" s="131">
        <v>100</v>
      </c>
      <c r="M78" s="131"/>
      <c r="N78" s="131"/>
      <c r="O78" s="132">
        <f>+Tabla1[[#This Row],[STOCK    FISICO ENERO 2021]]-Tabla1[[#This Row],[REQUISICIONES FEBRERO 2021]]</f>
        <v>0</v>
      </c>
      <c r="P78" s="132">
        <f>+Tabla1[[#This Row],[STOCK  FEBRERO 2021]]-Tabla1[[#This Row],[REQUISICIONES MARZO 2021]]+Tabla1[[#This Row],[ENTRADAS MARZO 2021]]</f>
        <v>100</v>
      </c>
      <c r="Q78" s="41" t="s">
        <v>37</v>
      </c>
      <c r="R78" s="133">
        <v>25</v>
      </c>
      <c r="S78" s="100">
        <f t="shared" si="1"/>
        <v>29.5</v>
      </c>
      <c r="T78" s="100">
        <f>Tabla1[[#This Row],[STOCK MARZO ]]*Tabla1[[#This Row],[COSTO UNITARIO SIN ITBIS]]</f>
        <v>2500</v>
      </c>
    </row>
    <row r="79" spans="1:20" s="9" customFormat="1" x14ac:dyDescent="0.25">
      <c r="A79" s="96">
        <v>70</v>
      </c>
      <c r="B79" s="32">
        <v>43671</v>
      </c>
      <c r="C79" s="29" t="s">
        <v>11</v>
      </c>
      <c r="D79" s="32">
        <v>44055</v>
      </c>
      <c r="E79" s="148"/>
      <c r="F79" s="29">
        <v>1386</v>
      </c>
      <c r="G79" s="33" t="s">
        <v>70</v>
      </c>
      <c r="H79" s="47">
        <v>16</v>
      </c>
      <c r="I79" s="47">
        <f>1+1+1</f>
        <v>3</v>
      </c>
      <c r="J79" s="47">
        <f>+'INVENTARIO ENERO-MARZO 2021'!$H79-'INVENTARIO ENERO-MARZO 2021'!$I79</f>
        <v>13</v>
      </c>
      <c r="K79" s="47"/>
      <c r="L79" s="47"/>
      <c r="M79" s="47">
        <f>1+1+1+1+1+1+1+3+1+1+1</f>
        <v>13</v>
      </c>
      <c r="N79" s="47"/>
      <c r="O79" s="47">
        <f>+Tabla1[[#This Row],[STOCK    FISICO ENERO 2021]]-Tabla1[[#This Row],[REQUISICIONES FEBRERO 2021]]</f>
        <v>0</v>
      </c>
      <c r="P79" s="47">
        <f>+Tabla1[[#This Row],[STOCK  FEBRERO 2021]]-Tabla1[[#This Row],[REQUISICIONES MARZO 2021]]+Tabla1[[#This Row],[ENTRADAS MARZO 2021]]</f>
        <v>0</v>
      </c>
      <c r="Q79" s="31" t="s">
        <v>12</v>
      </c>
      <c r="R79" s="35">
        <v>430</v>
      </c>
      <c r="S79" s="36">
        <f t="shared" si="1"/>
        <v>507.4</v>
      </c>
      <c r="T79" s="100">
        <f>Tabla1[[#This Row],[STOCK MARZO ]]*Tabla1[[#This Row],[COSTO UNITARIO SIN ITBIS]]</f>
        <v>0</v>
      </c>
    </row>
    <row r="80" spans="1:20" s="9" customFormat="1" x14ac:dyDescent="0.25">
      <c r="A80" s="96">
        <v>71</v>
      </c>
      <c r="B80" s="127">
        <v>44284</v>
      </c>
      <c r="C80" s="29" t="s">
        <v>11</v>
      </c>
      <c r="D80" s="127">
        <v>44281</v>
      </c>
      <c r="E80" s="149" t="s">
        <v>834</v>
      </c>
      <c r="F80" s="129"/>
      <c r="G80" s="33" t="s">
        <v>793</v>
      </c>
      <c r="H80" s="137"/>
      <c r="I80" s="137"/>
      <c r="J80" s="137">
        <f>+'INVENTARIO ENERO-MARZO 2021'!$H80-'INVENTARIO ENERO-MARZO 2021'!$I80</f>
        <v>0</v>
      </c>
      <c r="K80" s="137"/>
      <c r="L80" s="137">
        <v>70</v>
      </c>
      <c r="M80" s="137"/>
      <c r="N80" s="137">
        <f>1+2+1+1</f>
        <v>5</v>
      </c>
      <c r="O80" s="132">
        <f>+Tabla1[[#This Row],[STOCK    FISICO ENERO 2021]]-Tabla1[[#This Row],[REQUISICIONES FEBRERO 2021]]</f>
        <v>0</v>
      </c>
      <c r="P80" s="132">
        <f>+Tabla1[[#This Row],[STOCK  FEBRERO 2021]]-Tabla1[[#This Row],[REQUISICIONES MARZO 2021]]+Tabla1[[#This Row],[ENTRADAS MARZO 2021]]</f>
        <v>65</v>
      </c>
      <c r="Q80" s="31" t="s">
        <v>12</v>
      </c>
      <c r="R80" s="133">
        <v>160</v>
      </c>
      <c r="S80" s="36">
        <f t="shared" si="1"/>
        <v>188.8</v>
      </c>
      <c r="T80" s="135">
        <f>Tabla1[[#This Row],[STOCK MARZO ]]*Tabla1[[#This Row],[COSTO UNITARIO SIN ITBIS]]</f>
        <v>10400</v>
      </c>
    </row>
    <row r="81" spans="1:20" s="9" customFormat="1" x14ac:dyDescent="0.25">
      <c r="A81" s="96">
        <v>72</v>
      </c>
      <c r="B81" s="32">
        <v>43440</v>
      </c>
      <c r="C81" s="29" t="s">
        <v>11</v>
      </c>
      <c r="D81" s="32">
        <v>43440</v>
      </c>
      <c r="E81" s="148"/>
      <c r="F81" s="29">
        <v>1408</v>
      </c>
      <c r="G81" s="33" t="s">
        <v>71</v>
      </c>
      <c r="H81" s="34">
        <v>22</v>
      </c>
      <c r="I81" s="34"/>
      <c r="J81" s="34">
        <f>+'INVENTARIO ENERO-MARZO 2021'!$H81-'INVENTARIO ENERO-MARZO 2021'!$I81</f>
        <v>22</v>
      </c>
      <c r="K81" s="34"/>
      <c r="L81" s="34"/>
      <c r="M81" s="34"/>
      <c r="N81" s="34">
        <f>1+1</f>
        <v>2</v>
      </c>
      <c r="O81" s="34">
        <f>+Tabla1[[#This Row],[STOCK    FISICO ENERO 2021]]-Tabla1[[#This Row],[REQUISICIONES FEBRERO 2021]]</f>
        <v>22</v>
      </c>
      <c r="P81" s="34">
        <f>+Tabla1[[#This Row],[STOCK  FEBRERO 2021]]-Tabla1[[#This Row],[REQUISICIONES MARZO 2021]]+Tabla1[[#This Row],[ENTRADAS MARZO 2021]]</f>
        <v>20</v>
      </c>
      <c r="Q81" s="31" t="s">
        <v>12</v>
      </c>
      <c r="R81" s="35">
        <v>215.54</v>
      </c>
      <c r="S81" s="36">
        <f t="shared" si="1"/>
        <v>254.3372</v>
      </c>
      <c r="T81" s="100">
        <f>Tabla1[[#This Row],[STOCK MARZO ]]*Tabla1[[#This Row],[COSTO UNITARIO SIN ITBIS]]</f>
        <v>4310.8</v>
      </c>
    </row>
    <row r="82" spans="1:20" s="9" customFormat="1" x14ac:dyDescent="0.25">
      <c r="A82" s="96">
        <v>73</v>
      </c>
      <c r="B82" s="32">
        <v>43647</v>
      </c>
      <c r="C82" s="29" t="s">
        <v>11</v>
      </c>
      <c r="D82" s="32">
        <v>43752</v>
      </c>
      <c r="E82" s="148"/>
      <c r="F82" s="29">
        <v>1492</v>
      </c>
      <c r="G82" s="41" t="s">
        <v>72</v>
      </c>
      <c r="H82" s="51">
        <v>18</v>
      </c>
      <c r="I82" s="51"/>
      <c r="J82" s="51">
        <f>+'INVENTARIO ENERO-MARZO 2021'!$H82-'INVENTARIO ENERO-MARZO 2021'!$I82</f>
        <v>18</v>
      </c>
      <c r="K82" s="51"/>
      <c r="L82" s="51"/>
      <c r="M82" s="51"/>
      <c r="N82" s="51"/>
      <c r="O82" s="51">
        <f>+Tabla1[[#This Row],[STOCK    FISICO ENERO 2021]]-Tabla1[[#This Row],[REQUISICIONES FEBRERO 2021]]</f>
        <v>18</v>
      </c>
      <c r="P82" s="51">
        <f>+Tabla1[[#This Row],[STOCK  FEBRERO 2021]]-Tabla1[[#This Row],[REQUISICIONES MARZO 2021]]+Tabla1[[#This Row],[ENTRADAS MARZO 2021]]</f>
        <v>18</v>
      </c>
      <c r="Q82" s="41" t="s">
        <v>12</v>
      </c>
      <c r="R82" s="46">
        <v>382</v>
      </c>
      <c r="S82" s="36">
        <f t="shared" si="1"/>
        <v>450.76</v>
      </c>
      <c r="T82" s="100">
        <f>Tabla1[[#This Row],[STOCK MARZO ]]*Tabla1[[#This Row],[COSTO UNITARIO SIN ITBIS]]</f>
        <v>6876</v>
      </c>
    </row>
    <row r="83" spans="1:20" s="9" customFormat="1" x14ac:dyDescent="0.25">
      <c r="A83" s="96">
        <v>74</v>
      </c>
      <c r="B83" s="43">
        <v>43108</v>
      </c>
      <c r="C83" s="42" t="s">
        <v>11</v>
      </c>
      <c r="D83" s="43">
        <v>43108</v>
      </c>
      <c r="E83" s="150"/>
      <c r="F83" s="44">
        <v>1105</v>
      </c>
      <c r="G83" s="41" t="s">
        <v>73</v>
      </c>
      <c r="H83" s="50"/>
      <c r="I83" s="50"/>
      <c r="J83" s="50">
        <f>+'INVENTARIO ENERO-MARZO 2021'!$H83-'INVENTARIO ENERO-MARZO 2021'!$I83</f>
        <v>0</v>
      </c>
      <c r="K83" s="50"/>
      <c r="L83" s="50"/>
      <c r="M83" s="50"/>
      <c r="N83" s="50"/>
      <c r="O83" s="50">
        <f>+Tabla1[[#This Row],[STOCK    FISICO ENERO 2021]]-Tabla1[[#This Row],[REQUISICIONES FEBRERO 2021]]</f>
        <v>0</v>
      </c>
      <c r="P83" s="50">
        <f>+Tabla1[[#This Row],[STOCK  FEBRERO 2021]]-Tabla1[[#This Row],[REQUISICIONES MARZO 2021]]+Tabla1[[#This Row],[ENTRADAS MARZO 2021]]</f>
        <v>0</v>
      </c>
      <c r="Q83" s="41" t="s">
        <v>51</v>
      </c>
      <c r="R83" s="46">
        <v>650</v>
      </c>
      <c r="S83" s="36">
        <f t="shared" si="1"/>
        <v>767</v>
      </c>
      <c r="T83" s="100">
        <f>Tabla1[[#This Row],[STOCK MARZO ]]*Tabla1[[#This Row],[COSTO UNITARIO SIN ITBIS]]</f>
        <v>0</v>
      </c>
    </row>
    <row r="84" spans="1:20" s="9" customFormat="1" x14ac:dyDescent="0.25">
      <c r="A84" s="96">
        <v>75</v>
      </c>
      <c r="B84" s="32">
        <v>43440</v>
      </c>
      <c r="C84" s="29" t="s">
        <v>11</v>
      </c>
      <c r="D84" s="32">
        <v>43440</v>
      </c>
      <c r="E84" s="148"/>
      <c r="F84" s="29">
        <v>1384</v>
      </c>
      <c r="G84" s="33" t="s">
        <v>74</v>
      </c>
      <c r="H84" s="47">
        <v>2437</v>
      </c>
      <c r="I84" s="47"/>
      <c r="J84" s="47">
        <f>+'INVENTARIO ENERO-MARZO 2021'!$H84-'INVENTARIO ENERO-MARZO 2021'!$I84</f>
        <v>2437</v>
      </c>
      <c r="K84" s="47"/>
      <c r="L84" s="47"/>
      <c r="M84" s="47">
        <f>200+200+200</f>
        <v>600</v>
      </c>
      <c r="N84" s="47">
        <f>200+200</f>
        <v>400</v>
      </c>
      <c r="O84" s="47">
        <f>+Tabla1[[#This Row],[STOCK    FISICO ENERO 2021]]-Tabla1[[#This Row],[REQUISICIONES FEBRERO 2021]]</f>
        <v>1837</v>
      </c>
      <c r="P84" s="47">
        <f>+Tabla1[[#This Row],[STOCK  FEBRERO 2021]]-Tabla1[[#This Row],[REQUISICIONES MARZO 2021]]+Tabla1[[#This Row],[ENTRADAS MARZO 2021]]</f>
        <v>1437</v>
      </c>
      <c r="Q84" s="31" t="s">
        <v>12</v>
      </c>
      <c r="R84" s="35">
        <f>382/200</f>
        <v>1.91</v>
      </c>
      <c r="S84" s="36">
        <f t="shared" si="1"/>
        <v>2.2538</v>
      </c>
      <c r="T84" s="100">
        <f>Tabla1[[#This Row],[STOCK MARZO ]]*Tabla1[[#This Row],[COSTO UNITARIO SIN ITBIS]]</f>
        <v>2744.67</v>
      </c>
    </row>
    <row r="85" spans="1:20" s="9" customFormat="1" x14ac:dyDescent="0.25">
      <c r="A85" s="96">
        <v>76</v>
      </c>
      <c r="B85" s="127">
        <v>44285</v>
      </c>
      <c r="C85" s="29" t="s">
        <v>11</v>
      </c>
      <c r="D85" s="127">
        <v>44285</v>
      </c>
      <c r="E85" s="149" t="s">
        <v>797</v>
      </c>
      <c r="F85" s="129"/>
      <c r="G85" s="33" t="s">
        <v>800</v>
      </c>
      <c r="H85" s="137"/>
      <c r="I85" s="137"/>
      <c r="J85" s="137">
        <v>0</v>
      </c>
      <c r="K85" s="137"/>
      <c r="L85" s="137">
        <f>100*200</f>
        <v>20000</v>
      </c>
      <c r="M85" s="137"/>
      <c r="N85" s="137"/>
      <c r="O85" s="132">
        <f>+Tabla1[[#This Row],[STOCK    FISICO ENERO 2021]]-Tabla1[[#This Row],[REQUISICIONES FEBRERO 2021]]</f>
        <v>0</v>
      </c>
      <c r="P85" s="132">
        <f>+Tabla1[[#This Row],[STOCK  FEBRERO 2021]]-Tabla1[[#This Row],[REQUISICIONES MARZO 2021]]+Tabla1[[#This Row],[ENTRADAS MARZO 2021]]</f>
        <v>20000</v>
      </c>
      <c r="Q85" s="31" t="s">
        <v>12</v>
      </c>
      <c r="R85" s="133">
        <v>0.3</v>
      </c>
      <c r="S85" s="100">
        <f t="shared" si="1"/>
        <v>0.35399999999999998</v>
      </c>
      <c r="T85" s="100">
        <f>Tabla1[[#This Row],[STOCK MARZO ]]*Tabla1[[#This Row],[COSTO UNITARIO SIN ITBIS]]</f>
        <v>6000</v>
      </c>
    </row>
    <row r="86" spans="1:20" s="9" customFormat="1" x14ac:dyDescent="0.25">
      <c r="A86" s="96">
        <v>77</v>
      </c>
      <c r="B86" s="32">
        <v>43440</v>
      </c>
      <c r="C86" s="29" t="s">
        <v>11</v>
      </c>
      <c r="D86" s="32">
        <v>43440</v>
      </c>
      <c r="E86" s="148"/>
      <c r="F86" s="29">
        <v>1402</v>
      </c>
      <c r="G86" s="33" t="s">
        <v>75</v>
      </c>
      <c r="H86" s="34">
        <f>23+181</f>
        <v>204</v>
      </c>
      <c r="I86" s="34"/>
      <c r="J86" s="34">
        <f>+'INVENTARIO ENERO-MARZO 2021'!$H86-'INVENTARIO ENERO-MARZO 2021'!$I86</f>
        <v>204</v>
      </c>
      <c r="K86" s="34"/>
      <c r="L86" s="34"/>
      <c r="M86" s="34"/>
      <c r="N86" s="34"/>
      <c r="O86" s="34">
        <f>+Tabla1[[#This Row],[STOCK    FISICO ENERO 2021]]-Tabla1[[#This Row],[REQUISICIONES FEBRERO 2021]]</f>
        <v>204</v>
      </c>
      <c r="P86" s="34">
        <f>+Tabla1[[#This Row],[STOCK  FEBRERO 2021]]-Tabla1[[#This Row],[REQUISICIONES MARZO 2021]]+Tabla1[[#This Row],[ENTRADAS MARZO 2021]]</f>
        <v>204</v>
      </c>
      <c r="Q86" s="31" t="s">
        <v>51</v>
      </c>
      <c r="R86" s="35">
        <v>1054</v>
      </c>
      <c r="S86" s="36">
        <f t="shared" si="1"/>
        <v>1243.72</v>
      </c>
      <c r="T86" s="100">
        <f>Tabla1[[#This Row],[STOCK MARZO ]]*Tabla1[[#This Row],[COSTO UNITARIO SIN ITBIS]]</f>
        <v>215016</v>
      </c>
    </row>
    <row r="87" spans="1:20" s="9" customFormat="1" x14ac:dyDescent="0.25">
      <c r="A87" s="96">
        <v>78</v>
      </c>
      <c r="B87" s="43">
        <v>43325</v>
      </c>
      <c r="C87" s="42" t="s">
        <v>11</v>
      </c>
      <c r="D87" s="43">
        <v>43325</v>
      </c>
      <c r="E87" s="150"/>
      <c r="F87" s="44">
        <v>1112</v>
      </c>
      <c r="G87" s="41" t="s">
        <v>76</v>
      </c>
      <c r="H87" s="41">
        <v>39</v>
      </c>
      <c r="I87" s="41"/>
      <c r="J87" s="41">
        <f>+'INVENTARIO ENERO-MARZO 2021'!$H87-'INVENTARIO ENERO-MARZO 2021'!$I87</f>
        <v>39</v>
      </c>
      <c r="K87" s="41"/>
      <c r="L87" s="41"/>
      <c r="M87" s="41"/>
      <c r="N87" s="41"/>
      <c r="O87" s="41">
        <f>+Tabla1[[#This Row],[STOCK    FISICO ENERO 2021]]-Tabla1[[#This Row],[REQUISICIONES FEBRERO 2021]]</f>
        <v>39</v>
      </c>
      <c r="P87" s="41">
        <f>+Tabla1[[#This Row],[STOCK  FEBRERO 2021]]-Tabla1[[#This Row],[REQUISICIONES MARZO 2021]]+Tabla1[[#This Row],[ENTRADAS MARZO 2021]]</f>
        <v>39</v>
      </c>
      <c r="Q87" s="41" t="s">
        <v>12</v>
      </c>
      <c r="R87" s="46">
        <v>3.85</v>
      </c>
      <c r="S87" s="36">
        <f t="shared" si="1"/>
        <v>4.5430000000000001</v>
      </c>
      <c r="T87" s="100">
        <f>Tabla1[[#This Row],[STOCK MARZO ]]*Tabla1[[#This Row],[COSTO UNITARIO SIN ITBIS]]</f>
        <v>150.15</v>
      </c>
    </row>
    <row r="88" spans="1:20" s="9" customFormat="1" x14ac:dyDescent="0.25">
      <c r="A88" s="96">
        <v>79</v>
      </c>
      <c r="B88" s="43">
        <v>43440</v>
      </c>
      <c r="C88" s="35" t="s">
        <v>11</v>
      </c>
      <c r="D88" s="43">
        <v>43440</v>
      </c>
      <c r="E88" s="150"/>
      <c r="F88" s="52">
        <v>1110</v>
      </c>
      <c r="G88" s="49" t="s">
        <v>77</v>
      </c>
      <c r="H88" s="49">
        <v>434</v>
      </c>
      <c r="I88" s="49">
        <f>50+6+12+12+12+6+12+12</f>
        <v>122</v>
      </c>
      <c r="J88" s="49">
        <f>+'INVENTARIO ENERO-MARZO 2021'!$H88-'INVENTARIO ENERO-MARZO 2021'!$I88</f>
        <v>312</v>
      </c>
      <c r="K88" s="49"/>
      <c r="L88" s="49"/>
      <c r="M88" s="49">
        <f>6+12+12+10+10+10+10+10+10+10+10+10+10+5+12+6+10+6+10+12+8+6+12+10+10+10+10+10+2+6+6+10+4</f>
        <v>295</v>
      </c>
      <c r="N88" s="49">
        <f>10+6+5+1+5+5+4+10+4+15+2+3+15+5+12+20+4+5+4+12+6+4-140</f>
        <v>17</v>
      </c>
      <c r="O88" s="49">
        <f>+Tabla1[[#This Row],[STOCK    FISICO ENERO 2021]]-Tabla1[[#This Row],[REQUISICIONES FEBRERO 2021]]</f>
        <v>17</v>
      </c>
      <c r="P88" s="49">
        <f>+Tabla1[[#This Row],[STOCK  FEBRERO 2021]]-Tabla1[[#This Row],[REQUISICIONES MARZO 2021]]+Tabla1[[#This Row],[ENTRADAS MARZO 2021]]</f>
        <v>0</v>
      </c>
      <c r="Q88" s="49" t="s">
        <v>12</v>
      </c>
      <c r="R88" s="53">
        <v>3.85</v>
      </c>
      <c r="S88" s="36">
        <f t="shared" si="1"/>
        <v>4.5430000000000001</v>
      </c>
      <c r="T88" s="100">
        <f>Tabla1[[#This Row],[STOCK MARZO ]]*Tabla1[[#This Row],[COSTO UNITARIO SIN ITBIS]]</f>
        <v>0</v>
      </c>
    </row>
    <row r="89" spans="1:20" s="9" customFormat="1" x14ac:dyDescent="0.25">
      <c r="A89" s="96">
        <v>80</v>
      </c>
      <c r="B89" s="127">
        <v>44285</v>
      </c>
      <c r="C89" s="35" t="s">
        <v>11</v>
      </c>
      <c r="D89" s="127">
        <v>44285</v>
      </c>
      <c r="E89" s="149" t="s">
        <v>814</v>
      </c>
      <c r="F89" s="129"/>
      <c r="G89" s="130" t="s">
        <v>817</v>
      </c>
      <c r="H89" s="131"/>
      <c r="I89" s="131"/>
      <c r="J89" s="131">
        <f>+'INVENTARIO ENERO-MARZO 2021'!$H89-'INVENTARIO ENERO-MARZO 2021'!$I89</f>
        <v>0</v>
      </c>
      <c r="K89" s="131"/>
      <c r="L89" s="131">
        <v>2200</v>
      </c>
      <c r="M89" s="131"/>
      <c r="N89" s="131">
        <f>140+60</f>
        <v>200</v>
      </c>
      <c r="O89" s="132">
        <f>+Tabla1[[#This Row],[STOCK    FISICO ENERO 2021]]-Tabla1[[#This Row],[REQUISICIONES FEBRERO 2021]]</f>
        <v>0</v>
      </c>
      <c r="P89" s="132">
        <f>+Tabla1[[#This Row],[STOCK  FEBRERO 2021]]-Tabla1[[#This Row],[REQUISICIONES MARZO 2021]]+Tabla1[[#This Row],[ENTRADAS MARZO 2021]]</f>
        <v>2000</v>
      </c>
      <c r="Q89" s="49" t="s">
        <v>12</v>
      </c>
      <c r="R89" s="133">
        <v>6.55</v>
      </c>
      <c r="S89" s="135" t="s">
        <v>805</v>
      </c>
      <c r="T89" s="100">
        <f>Tabla1[[#This Row],[STOCK MARZO ]]*Tabla1[[#This Row],[COSTO UNITARIO SIN ITBIS]]</f>
        <v>13100</v>
      </c>
    </row>
    <row r="90" spans="1:20" s="9" customFormat="1" x14ac:dyDescent="0.25">
      <c r="A90" s="96">
        <v>81</v>
      </c>
      <c r="B90" s="127">
        <v>44285</v>
      </c>
      <c r="C90" s="35" t="s">
        <v>11</v>
      </c>
      <c r="D90" s="127">
        <v>44285</v>
      </c>
      <c r="E90" s="149" t="s">
        <v>814</v>
      </c>
      <c r="F90" s="129"/>
      <c r="G90" s="130" t="s">
        <v>818</v>
      </c>
      <c r="H90" s="131"/>
      <c r="I90" s="131"/>
      <c r="J90" s="131">
        <f>+'INVENTARIO ENERO-MARZO 2021'!$H90-'INVENTARIO ENERO-MARZO 2021'!$I90</f>
        <v>0</v>
      </c>
      <c r="K90" s="131"/>
      <c r="L90" s="131">
        <v>120</v>
      </c>
      <c r="M90" s="131"/>
      <c r="N90" s="131">
        <v>36</v>
      </c>
      <c r="O90" s="132">
        <f>+Tabla1[[#This Row],[STOCK    FISICO ENERO 2021]]-Tabla1[[#This Row],[REQUISICIONES FEBRERO 2021]]</f>
        <v>0</v>
      </c>
      <c r="P90" s="132">
        <f>+Tabla1[[#This Row],[STOCK  FEBRERO 2021]]-Tabla1[[#This Row],[REQUISICIONES MARZO 2021]]+Tabla1[[#This Row],[ENTRADAS MARZO 2021]]</f>
        <v>84</v>
      </c>
      <c r="Q90" s="49" t="s">
        <v>12</v>
      </c>
      <c r="R90" s="133">
        <v>6.55</v>
      </c>
      <c r="S90" s="135" t="s">
        <v>805</v>
      </c>
      <c r="T90" s="100">
        <f>Tabla1[[#This Row],[STOCK MARZO ]]*Tabla1[[#This Row],[COSTO UNITARIO SIN ITBIS]]</f>
        <v>550.19999999999993</v>
      </c>
    </row>
    <row r="91" spans="1:20" s="9" customFormat="1" x14ac:dyDescent="0.25">
      <c r="A91" s="96">
        <v>82</v>
      </c>
      <c r="B91" s="127">
        <v>44285</v>
      </c>
      <c r="C91" s="35" t="s">
        <v>11</v>
      </c>
      <c r="D91" s="127">
        <v>44285</v>
      </c>
      <c r="E91" s="149" t="s">
        <v>814</v>
      </c>
      <c r="F91" s="129"/>
      <c r="G91" s="130" t="s">
        <v>819</v>
      </c>
      <c r="H91" s="131"/>
      <c r="I91" s="131"/>
      <c r="J91" s="131">
        <f>+'INVENTARIO ENERO-MARZO 2021'!$H91-'INVENTARIO ENERO-MARZO 2021'!$I91</f>
        <v>0</v>
      </c>
      <c r="K91" s="131"/>
      <c r="L91" s="131">
        <v>48</v>
      </c>
      <c r="M91" s="131"/>
      <c r="N91" s="131"/>
      <c r="O91" s="132">
        <f>+Tabla1[[#This Row],[STOCK    FISICO ENERO 2021]]-Tabla1[[#This Row],[REQUISICIONES FEBRERO 2021]]</f>
        <v>0</v>
      </c>
      <c r="P91" s="132">
        <f>+Tabla1[[#This Row],[STOCK  FEBRERO 2021]]-Tabla1[[#This Row],[REQUISICIONES MARZO 2021]]+Tabla1[[#This Row],[ENTRADAS MARZO 2021]]</f>
        <v>48</v>
      </c>
      <c r="Q91" s="49" t="s">
        <v>12</v>
      </c>
      <c r="R91" s="133">
        <v>6.55</v>
      </c>
      <c r="S91" s="135" t="s">
        <v>805</v>
      </c>
      <c r="T91" s="100">
        <f>Tabla1[[#This Row],[STOCK MARZO ]]*Tabla1[[#This Row],[COSTO UNITARIO SIN ITBIS]]</f>
        <v>314.39999999999998</v>
      </c>
    </row>
    <row r="92" spans="1:20" s="9" customFormat="1" x14ac:dyDescent="0.25">
      <c r="A92" s="96">
        <v>83</v>
      </c>
      <c r="B92" s="43">
        <v>44110</v>
      </c>
      <c r="C92" s="42" t="s">
        <v>11</v>
      </c>
      <c r="D92" s="43">
        <v>44110</v>
      </c>
      <c r="E92" s="150"/>
      <c r="F92" s="45" t="s">
        <v>23</v>
      </c>
      <c r="G92" s="41" t="s">
        <v>78</v>
      </c>
      <c r="H92" s="41">
        <v>154</v>
      </c>
      <c r="I92" s="41"/>
      <c r="J92" s="41">
        <f>+'INVENTARIO ENERO-MARZO 2021'!$H92-'INVENTARIO ENERO-MARZO 2021'!$I92</f>
        <v>154</v>
      </c>
      <c r="K92" s="41"/>
      <c r="L92" s="41"/>
      <c r="M92" s="41"/>
      <c r="N92" s="41">
        <v>30</v>
      </c>
      <c r="O92" s="41">
        <f>+Tabla1[[#This Row],[STOCK    FISICO ENERO 2021]]-Tabla1[[#This Row],[REQUISICIONES FEBRERO 2021]]</f>
        <v>154</v>
      </c>
      <c r="P92" s="41">
        <f>+Tabla1[[#This Row],[STOCK  FEBRERO 2021]]-Tabla1[[#This Row],[REQUISICIONES MARZO 2021]]+Tabla1[[#This Row],[ENTRADAS MARZO 2021]]</f>
        <v>124</v>
      </c>
      <c r="Q92" s="41" t="s">
        <v>12</v>
      </c>
      <c r="R92" s="46">
        <v>595</v>
      </c>
      <c r="S92" s="36">
        <f t="shared" si="1"/>
        <v>702.1</v>
      </c>
      <c r="T92" s="100">
        <f>Tabla1[[#This Row],[STOCK MARZO ]]*Tabla1[[#This Row],[COSTO UNITARIO SIN ITBIS]]</f>
        <v>73780</v>
      </c>
    </row>
    <row r="93" spans="1:20" s="9" customFormat="1" x14ac:dyDescent="0.25">
      <c r="A93" s="96">
        <v>84</v>
      </c>
      <c r="B93" s="43">
        <v>43440</v>
      </c>
      <c r="C93" s="35" t="s">
        <v>11</v>
      </c>
      <c r="D93" s="43">
        <v>43440</v>
      </c>
      <c r="E93" s="150"/>
      <c r="F93" s="52">
        <v>1113</v>
      </c>
      <c r="G93" s="49" t="s">
        <v>79</v>
      </c>
      <c r="H93" s="49">
        <v>641</v>
      </c>
      <c r="I93" s="49">
        <f>6+12+12</f>
        <v>30</v>
      </c>
      <c r="J93" s="49">
        <f>+'INVENTARIO ENERO-MARZO 2021'!$H93-'INVENTARIO ENERO-MARZO 2021'!$I93</f>
        <v>611</v>
      </c>
      <c r="K93" s="49"/>
      <c r="L93" s="49"/>
      <c r="M93" s="49">
        <f>12+12+10+12+10+12+6+12+2+12+12+8+12</f>
        <v>132</v>
      </c>
      <c r="N93" s="49">
        <f>12+12+12+12+12+12+120+12+60+12+24</f>
        <v>300</v>
      </c>
      <c r="O93" s="49">
        <f>+Tabla1[[#This Row],[STOCK    FISICO ENERO 2021]]-Tabla1[[#This Row],[REQUISICIONES FEBRERO 2021]]</f>
        <v>479</v>
      </c>
      <c r="P93" s="49">
        <f>+Tabla1[[#This Row],[STOCK  FEBRERO 2021]]-Tabla1[[#This Row],[REQUISICIONES MARZO 2021]]+Tabla1[[#This Row],[ENTRADAS MARZO 2021]]</f>
        <v>179</v>
      </c>
      <c r="Q93" s="49" t="s">
        <v>12</v>
      </c>
      <c r="R93" s="53">
        <v>3.85</v>
      </c>
      <c r="S93" s="36">
        <f t="shared" si="1"/>
        <v>4.5430000000000001</v>
      </c>
      <c r="T93" s="100">
        <f>Tabla1[[#This Row],[STOCK MARZO ]]*Tabla1[[#This Row],[COSTO UNITARIO SIN ITBIS]]</f>
        <v>689.15</v>
      </c>
    </row>
    <row r="94" spans="1:20" s="9" customFormat="1" x14ac:dyDescent="0.25">
      <c r="A94" s="96">
        <v>85</v>
      </c>
      <c r="B94" s="127">
        <v>44285</v>
      </c>
      <c r="C94" s="35" t="s">
        <v>11</v>
      </c>
      <c r="D94" s="127">
        <v>44285</v>
      </c>
      <c r="E94" s="149" t="s">
        <v>797</v>
      </c>
      <c r="F94" s="129"/>
      <c r="G94" s="49" t="s">
        <v>802</v>
      </c>
      <c r="H94" s="131"/>
      <c r="I94" s="131"/>
      <c r="J94" s="131">
        <f>+'INVENTARIO ENERO-MARZO 2021'!$H94-'INVENTARIO ENERO-MARZO 2021'!$I94</f>
        <v>0</v>
      </c>
      <c r="K94" s="131"/>
      <c r="L94" s="131">
        <f>50*12</f>
        <v>600</v>
      </c>
      <c r="M94" s="131"/>
      <c r="N94" s="131"/>
      <c r="O94" s="132">
        <f>+Tabla1[[#This Row],[STOCK    FISICO ENERO 2021]]-Tabla1[[#This Row],[REQUISICIONES FEBRERO 2021]]</f>
        <v>0</v>
      </c>
      <c r="P94" s="132">
        <f>+Tabla1[[#This Row],[STOCK  FEBRERO 2021]]-Tabla1[[#This Row],[REQUISICIONES MARZO 2021]]+Tabla1[[#This Row],[ENTRADAS MARZO 2021]]</f>
        <v>600</v>
      </c>
      <c r="Q94" s="49" t="s">
        <v>12</v>
      </c>
      <c r="R94" s="133">
        <v>3.75</v>
      </c>
      <c r="S94" s="100">
        <f t="shared" si="1"/>
        <v>4.4249999999999998</v>
      </c>
      <c r="T94" s="100">
        <f>Tabla1[[#This Row],[STOCK MARZO ]]*Tabla1[[#This Row],[COSTO UNITARIO SIN ITBIS]]</f>
        <v>2250</v>
      </c>
    </row>
    <row r="95" spans="1:20" s="13" customFormat="1" x14ac:dyDescent="0.25">
      <c r="A95" s="96">
        <v>86</v>
      </c>
      <c r="B95" s="32">
        <v>43440</v>
      </c>
      <c r="C95" s="29" t="s">
        <v>11</v>
      </c>
      <c r="D95" s="32">
        <v>43440</v>
      </c>
      <c r="E95" s="148"/>
      <c r="F95" s="29">
        <v>1380</v>
      </c>
      <c r="G95" s="33" t="s">
        <v>80</v>
      </c>
      <c r="H95" s="47">
        <v>70</v>
      </c>
      <c r="I95" s="47">
        <v>4</v>
      </c>
      <c r="J95" s="47">
        <f>+'INVENTARIO ENERO-MARZO 2021'!$H95-'INVENTARIO ENERO-MARZO 2021'!$I95</f>
        <v>66</v>
      </c>
      <c r="K95" s="47"/>
      <c r="L95" s="47"/>
      <c r="M95" s="47">
        <f>3+4+3+10+3+5+2+2+3+3+6+2</f>
        <v>46</v>
      </c>
      <c r="N95" s="47">
        <f>12+10+4+3+25+5+3+4+3+5+3+10-67</f>
        <v>20</v>
      </c>
      <c r="O95" s="47">
        <f>+Tabla1[[#This Row],[STOCK    FISICO ENERO 2021]]-Tabla1[[#This Row],[REQUISICIONES FEBRERO 2021]]</f>
        <v>20</v>
      </c>
      <c r="P95" s="47">
        <f>+Tabla1[[#This Row],[STOCK  FEBRERO 2021]]-Tabla1[[#This Row],[REQUISICIONES MARZO 2021]]+Tabla1[[#This Row],[ENTRADAS MARZO 2021]]</f>
        <v>0</v>
      </c>
      <c r="Q95" s="31" t="s">
        <v>12</v>
      </c>
      <c r="R95" s="35">
        <v>16.64</v>
      </c>
      <c r="S95" s="36">
        <f t="shared" si="1"/>
        <v>19.635200000000001</v>
      </c>
      <c r="T95" s="100">
        <f>Tabla1[[#This Row],[STOCK MARZO ]]*Tabla1[[#This Row],[COSTO UNITARIO SIN ITBIS]]</f>
        <v>0</v>
      </c>
    </row>
    <row r="96" spans="1:20" s="13" customFormat="1" x14ac:dyDescent="0.25">
      <c r="A96" s="96">
        <v>87</v>
      </c>
      <c r="B96" s="127">
        <v>44285</v>
      </c>
      <c r="C96" s="29" t="s">
        <v>11</v>
      </c>
      <c r="D96" s="127">
        <v>44275</v>
      </c>
      <c r="E96" s="149" t="s">
        <v>797</v>
      </c>
      <c r="F96" s="129"/>
      <c r="G96" s="33" t="s">
        <v>803</v>
      </c>
      <c r="H96" s="137"/>
      <c r="I96" s="137"/>
      <c r="J96" s="137">
        <f>+'INVENTARIO ENERO-MARZO 2021'!$H96-'INVENTARIO ENERO-MARZO 2021'!$I96</f>
        <v>0</v>
      </c>
      <c r="K96" s="137"/>
      <c r="L96" s="137">
        <v>230</v>
      </c>
      <c r="M96" s="137"/>
      <c r="N96" s="137">
        <v>67</v>
      </c>
      <c r="O96" s="132">
        <f>+Tabla1[[#This Row],[STOCK    FISICO ENERO 2021]]-Tabla1[[#This Row],[REQUISICIONES FEBRERO 2021]]</f>
        <v>0</v>
      </c>
      <c r="P96" s="132">
        <f>+Tabla1[[#This Row],[STOCK  FEBRERO 2021]]-Tabla1[[#This Row],[REQUISICIONES MARZO 2021]]+Tabla1[[#This Row],[ENTRADAS MARZO 2021]]</f>
        <v>163</v>
      </c>
      <c r="Q96" s="31" t="s">
        <v>12</v>
      </c>
      <c r="R96" s="133">
        <v>9.5</v>
      </c>
      <c r="S96" s="100">
        <f t="shared" si="1"/>
        <v>11.21</v>
      </c>
      <c r="T96" s="100">
        <f>Tabla1[[#This Row],[STOCK MARZO ]]*Tabla1[[#This Row],[COSTO UNITARIO SIN ITBIS]]</f>
        <v>1548.5</v>
      </c>
    </row>
    <row r="97" spans="1:20" s="9" customFormat="1" x14ac:dyDescent="0.25">
      <c r="A97" s="96">
        <v>88</v>
      </c>
      <c r="B97" s="43">
        <v>43724</v>
      </c>
      <c r="C97" s="35" t="s">
        <v>11</v>
      </c>
      <c r="D97" s="43">
        <v>43724</v>
      </c>
      <c r="E97" s="150"/>
      <c r="F97" s="52">
        <v>1109</v>
      </c>
      <c r="G97" s="49" t="s">
        <v>81</v>
      </c>
      <c r="H97" s="49">
        <v>327</v>
      </c>
      <c r="I97" s="49">
        <f>4+5</f>
        <v>9</v>
      </c>
      <c r="J97" s="49">
        <f>+'INVENTARIO ENERO-MARZO 2021'!$H97-'INVENTARIO ENERO-MARZO 2021'!$I97</f>
        <v>318</v>
      </c>
      <c r="K97" s="49"/>
      <c r="L97" s="49"/>
      <c r="M97" s="49">
        <f>4+2+4+3+5+3+3+6+5</f>
        <v>35</v>
      </c>
      <c r="N97" s="49">
        <f>10+1+2+5+4+4+10</f>
        <v>36</v>
      </c>
      <c r="O97" s="49">
        <f>+Tabla1[[#This Row],[STOCK    FISICO ENERO 2021]]-Tabla1[[#This Row],[REQUISICIONES FEBRERO 2021]]</f>
        <v>283</v>
      </c>
      <c r="P97" s="49">
        <f>+Tabla1[[#This Row],[STOCK  FEBRERO 2021]]-Tabla1[[#This Row],[REQUISICIONES MARZO 2021]]+Tabla1[[#This Row],[ENTRADAS MARZO 2021]]</f>
        <v>247</v>
      </c>
      <c r="Q97" s="34" t="s">
        <v>12</v>
      </c>
      <c r="R97" s="53">
        <v>29.85</v>
      </c>
      <c r="S97" s="36">
        <f t="shared" si="1"/>
        <v>35.222999999999999</v>
      </c>
      <c r="T97" s="100">
        <f>Tabla1[[#This Row],[STOCK MARZO ]]*Tabla1[[#This Row],[COSTO UNITARIO SIN ITBIS]]</f>
        <v>7372.9500000000007</v>
      </c>
    </row>
    <row r="98" spans="1:20" s="9" customFormat="1" x14ac:dyDescent="0.25">
      <c r="A98" s="96">
        <v>89</v>
      </c>
      <c r="B98" s="127">
        <v>44285</v>
      </c>
      <c r="C98" s="35" t="s">
        <v>11</v>
      </c>
      <c r="D98" s="127">
        <v>44285</v>
      </c>
      <c r="E98" s="149" t="s">
        <v>797</v>
      </c>
      <c r="F98" s="129"/>
      <c r="G98" s="49" t="s">
        <v>811</v>
      </c>
      <c r="H98" s="131"/>
      <c r="I98" s="131"/>
      <c r="J98" s="131">
        <f>+'INVENTARIO ENERO-MARZO 2021'!$H98-'INVENTARIO ENERO-MARZO 2021'!$I98</f>
        <v>0</v>
      </c>
      <c r="K98" s="131"/>
      <c r="L98" s="131">
        <v>100</v>
      </c>
      <c r="M98" s="131"/>
      <c r="N98" s="131"/>
      <c r="O98" s="132">
        <f>+Tabla1[[#This Row],[STOCK    FISICO ENERO 2021]]-Tabla1[[#This Row],[REQUISICIONES FEBRERO 2021]]</f>
        <v>0</v>
      </c>
      <c r="P98" s="132">
        <f>+Tabla1[[#This Row],[STOCK  FEBRERO 2021]]-Tabla1[[#This Row],[REQUISICIONES MARZO 2021]]+Tabla1[[#This Row],[ENTRADAS MARZO 2021]]</f>
        <v>100</v>
      </c>
      <c r="Q98" s="34" t="s">
        <v>12</v>
      </c>
      <c r="R98" s="133">
        <v>19.5</v>
      </c>
      <c r="S98" s="100">
        <f t="shared" si="1"/>
        <v>23.009999999999998</v>
      </c>
      <c r="T98" s="100">
        <f>Tabla1[[#This Row],[STOCK MARZO ]]*Tabla1[[#This Row],[COSTO UNITARIO SIN ITBIS]]</f>
        <v>1950</v>
      </c>
    </row>
    <row r="99" spans="1:20" s="13" customFormat="1" x14ac:dyDescent="0.25">
      <c r="A99" s="96">
        <v>90</v>
      </c>
      <c r="B99" s="32">
        <v>43671</v>
      </c>
      <c r="C99" s="29" t="s">
        <v>11</v>
      </c>
      <c r="D99" s="32">
        <v>43671</v>
      </c>
      <c r="E99" s="148"/>
      <c r="F99" s="29">
        <v>1358</v>
      </c>
      <c r="G99" s="39" t="s">
        <v>82</v>
      </c>
      <c r="H99" s="34">
        <v>64</v>
      </c>
      <c r="I99" s="34"/>
      <c r="J99" s="34">
        <f>+'INVENTARIO ENERO-MARZO 2021'!$H99-'INVENTARIO ENERO-MARZO 2021'!$I99</f>
        <v>64</v>
      </c>
      <c r="K99" s="34"/>
      <c r="L99" s="34"/>
      <c r="M99" s="34">
        <v>3</v>
      </c>
      <c r="N99" s="34"/>
      <c r="O99" s="34">
        <f>+Tabla1[[#This Row],[STOCK    FISICO ENERO 2021]]-Tabla1[[#This Row],[REQUISICIONES FEBRERO 2021]]</f>
        <v>61</v>
      </c>
      <c r="P99" s="34">
        <f>+Tabla1[[#This Row],[STOCK  FEBRERO 2021]]-Tabla1[[#This Row],[REQUISICIONES MARZO 2021]]+Tabla1[[#This Row],[ENTRADAS MARZO 2021]]</f>
        <v>61</v>
      </c>
      <c r="Q99" s="31" t="s">
        <v>12</v>
      </c>
      <c r="R99" s="35">
        <v>180.54</v>
      </c>
      <c r="S99" s="36">
        <f t="shared" si="1"/>
        <v>213.03719999999998</v>
      </c>
      <c r="T99" s="100">
        <f>Tabla1[[#This Row],[STOCK MARZO ]]*Tabla1[[#This Row],[COSTO UNITARIO SIN ITBIS]]</f>
        <v>11012.939999999999</v>
      </c>
    </row>
    <row r="100" spans="1:20" s="9" customFormat="1" x14ac:dyDescent="0.25">
      <c r="A100" s="96">
        <v>91</v>
      </c>
      <c r="B100" s="32">
        <v>43671</v>
      </c>
      <c r="C100" s="29" t="s">
        <v>11</v>
      </c>
      <c r="D100" s="32">
        <v>43671</v>
      </c>
      <c r="E100" s="148"/>
      <c r="F100" s="29">
        <v>1359</v>
      </c>
      <c r="G100" s="39" t="s">
        <v>83</v>
      </c>
      <c r="H100" s="34">
        <f>86+25</f>
        <v>111</v>
      </c>
      <c r="I100" s="34"/>
      <c r="J100" s="34">
        <f>+'INVENTARIO ENERO-MARZO 2021'!$H100-'INVENTARIO ENERO-MARZO 2021'!$I100</f>
        <v>111</v>
      </c>
      <c r="K100" s="34"/>
      <c r="L100" s="34"/>
      <c r="M100" s="34">
        <f>1+3</f>
        <v>4</v>
      </c>
      <c r="N100" s="34"/>
      <c r="O100" s="34">
        <f>+Tabla1[[#This Row],[STOCK    FISICO ENERO 2021]]-Tabla1[[#This Row],[REQUISICIONES FEBRERO 2021]]</f>
        <v>107</v>
      </c>
      <c r="P100" s="34">
        <f>+Tabla1[[#This Row],[STOCK  FEBRERO 2021]]-Tabla1[[#This Row],[REQUISICIONES MARZO 2021]]+Tabla1[[#This Row],[ENTRADAS MARZO 2021]]</f>
        <v>107</v>
      </c>
      <c r="Q100" s="31" t="s">
        <v>12</v>
      </c>
      <c r="R100" s="35">
        <v>243</v>
      </c>
      <c r="S100" s="36">
        <f t="shared" ref="S100:S143" si="2">R100*0.18+R100</f>
        <v>286.74</v>
      </c>
      <c r="T100" s="100">
        <f>Tabla1[[#This Row],[STOCK MARZO ]]*Tabla1[[#This Row],[COSTO UNITARIO SIN ITBIS]]</f>
        <v>26001</v>
      </c>
    </row>
    <row r="101" spans="1:20" s="9" customFormat="1" x14ac:dyDescent="0.25">
      <c r="A101" s="96">
        <v>92</v>
      </c>
      <c r="B101" s="127">
        <v>44285</v>
      </c>
      <c r="C101" s="129"/>
      <c r="D101" s="127">
        <v>44285</v>
      </c>
      <c r="E101" s="149" t="s">
        <v>797</v>
      </c>
      <c r="F101" s="129"/>
      <c r="G101" s="130" t="s">
        <v>804</v>
      </c>
      <c r="H101" s="131"/>
      <c r="I101" s="131"/>
      <c r="J101" s="131">
        <f>+'INVENTARIO ENERO-MARZO 2021'!$H101-'INVENTARIO ENERO-MARZO 2021'!$I101</f>
        <v>0</v>
      </c>
      <c r="K101" s="131"/>
      <c r="L101" s="131">
        <v>1</v>
      </c>
      <c r="M101" s="131"/>
      <c r="N101" s="131"/>
      <c r="O101" s="132">
        <f>+Tabla1[[#This Row],[STOCK    FISICO ENERO 2021]]-Tabla1[[#This Row],[REQUISICIONES FEBRERO 2021]]</f>
        <v>0</v>
      </c>
      <c r="P101" s="132">
        <f>+Tabla1[[#This Row],[STOCK  FEBRERO 2021]]-Tabla1[[#This Row],[REQUISICIONES MARZO 2021]]+Tabla1[[#This Row],[ENTRADAS MARZO 2021]]</f>
        <v>1</v>
      </c>
      <c r="Q101" s="31" t="s">
        <v>12</v>
      </c>
      <c r="R101" s="133">
        <v>3165</v>
      </c>
      <c r="S101" s="100" t="s">
        <v>805</v>
      </c>
      <c r="T101" s="100">
        <f>Tabla1[[#This Row],[STOCK MARZO ]]*Tabla1[[#This Row],[COSTO UNITARIO SIN ITBIS]]</f>
        <v>3165</v>
      </c>
    </row>
    <row r="102" spans="1:20" s="13" customFormat="1" x14ac:dyDescent="0.25">
      <c r="A102" s="96">
        <v>93</v>
      </c>
      <c r="B102" s="43">
        <v>43671</v>
      </c>
      <c r="C102" s="42" t="s">
        <v>11</v>
      </c>
      <c r="D102" s="43">
        <v>43671</v>
      </c>
      <c r="E102" s="150"/>
      <c r="F102" s="44">
        <v>1131</v>
      </c>
      <c r="G102" s="41" t="s">
        <v>84</v>
      </c>
      <c r="H102" s="41">
        <v>383</v>
      </c>
      <c r="I102" s="41"/>
      <c r="J102" s="41">
        <f>+'INVENTARIO ENERO-MARZO 2021'!$H102-'INVENTARIO ENERO-MARZO 2021'!$I102</f>
        <v>383</v>
      </c>
      <c r="K102" s="41"/>
      <c r="L102" s="41"/>
      <c r="M102" s="41"/>
      <c r="N102" s="41">
        <v>2</v>
      </c>
      <c r="O102" s="41">
        <f>+Tabla1[[#This Row],[STOCK    FISICO ENERO 2021]]-Tabla1[[#This Row],[REQUISICIONES FEBRERO 2021]]</f>
        <v>383</v>
      </c>
      <c r="P102" s="41">
        <f>+Tabla1[[#This Row],[STOCK  FEBRERO 2021]]-Tabla1[[#This Row],[REQUISICIONES MARZO 2021]]+Tabla1[[#This Row],[ENTRADAS MARZO 2021]]</f>
        <v>381</v>
      </c>
      <c r="Q102" s="41" t="s">
        <v>85</v>
      </c>
      <c r="R102" s="46">
        <v>10</v>
      </c>
      <c r="S102" s="36">
        <f t="shared" si="2"/>
        <v>11.8</v>
      </c>
      <c r="T102" s="100">
        <f>Tabla1[[#This Row],[STOCK MARZO ]]*Tabla1[[#This Row],[COSTO UNITARIO SIN ITBIS]]</f>
        <v>3810</v>
      </c>
    </row>
    <row r="103" spans="1:20" s="9" customFormat="1" x14ac:dyDescent="0.25">
      <c r="A103" s="96">
        <v>94</v>
      </c>
      <c r="B103" s="43">
        <v>43671</v>
      </c>
      <c r="C103" s="42" t="s">
        <v>11</v>
      </c>
      <c r="D103" s="43">
        <v>43671</v>
      </c>
      <c r="E103" s="150"/>
      <c r="F103" s="44">
        <v>1132</v>
      </c>
      <c r="G103" s="41" t="s">
        <v>86</v>
      </c>
      <c r="H103" s="41">
        <v>329</v>
      </c>
      <c r="I103" s="41"/>
      <c r="J103" s="41">
        <f>+'INVENTARIO ENERO-MARZO 2021'!$H103-'INVENTARIO ENERO-MARZO 2021'!$I103</f>
        <v>329</v>
      </c>
      <c r="K103" s="41"/>
      <c r="L103" s="41"/>
      <c r="M103" s="41">
        <f>5+3</f>
        <v>8</v>
      </c>
      <c r="N103" s="41">
        <f>5+2+3</f>
        <v>10</v>
      </c>
      <c r="O103" s="41">
        <f>+Tabla1[[#This Row],[STOCK    FISICO ENERO 2021]]-Tabla1[[#This Row],[REQUISICIONES FEBRERO 2021]]</f>
        <v>321</v>
      </c>
      <c r="P103" s="41">
        <f>+Tabla1[[#This Row],[STOCK  FEBRERO 2021]]-Tabla1[[#This Row],[REQUISICIONES MARZO 2021]]+Tabla1[[#This Row],[ENTRADAS MARZO 2021]]</f>
        <v>311</v>
      </c>
      <c r="Q103" s="41" t="s">
        <v>12</v>
      </c>
      <c r="R103" s="46">
        <v>10</v>
      </c>
      <c r="S103" s="36">
        <f t="shared" si="2"/>
        <v>11.8</v>
      </c>
      <c r="T103" s="100">
        <f>Tabla1[[#This Row],[STOCK MARZO ]]*Tabla1[[#This Row],[COSTO UNITARIO SIN ITBIS]]</f>
        <v>3110</v>
      </c>
    </row>
    <row r="104" spans="1:20" s="9" customFormat="1" x14ac:dyDescent="0.25">
      <c r="A104" s="96">
        <v>95</v>
      </c>
      <c r="B104" s="43">
        <v>43671</v>
      </c>
      <c r="C104" s="42" t="s">
        <v>11</v>
      </c>
      <c r="D104" s="43">
        <v>43671</v>
      </c>
      <c r="E104" s="150"/>
      <c r="F104" s="44">
        <v>1133</v>
      </c>
      <c r="G104" s="41" t="s">
        <v>87</v>
      </c>
      <c r="H104" s="41">
        <v>508</v>
      </c>
      <c r="I104" s="41"/>
      <c r="J104" s="41">
        <f>+'INVENTARIO ENERO-MARZO 2021'!$H104-'INVENTARIO ENERO-MARZO 2021'!$I104</f>
        <v>508</v>
      </c>
      <c r="K104" s="41"/>
      <c r="L104" s="41"/>
      <c r="M104" s="41"/>
      <c r="N104" s="41"/>
      <c r="O104" s="41">
        <f>+Tabla1[[#This Row],[STOCK    FISICO ENERO 2021]]-Tabla1[[#This Row],[REQUISICIONES FEBRERO 2021]]</f>
        <v>508</v>
      </c>
      <c r="P104" s="41">
        <f>+Tabla1[[#This Row],[STOCK  FEBRERO 2021]]-Tabla1[[#This Row],[REQUISICIONES MARZO 2021]]+Tabla1[[#This Row],[ENTRADAS MARZO 2021]]</f>
        <v>508</v>
      </c>
      <c r="Q104" s="41" t="s">
        <v>12</v>
      </c>
      <c r="R104" s="46">
        <v>10</v>
      </c>
      <c r="S104" s="36">
        <f t="shared" si="2"/>
        <v>11.8</v>
      </c>
      <c r="T104" s="100">
        <f>Tabla1[[#This Row],[STOCK MARZO ]]*Tabla1[[#This Row],[COSTO UNITARIO SIN ITBIS]]</f>
        <v>5080</v>
      </c>
    </row>
    <row r="105" spans="1:20" s="9" customFormat="1" x14ac:dyDescent="0.25">
      <c r="A105" s="96">
        <v>96</v>
      </c>
      <c r="B105" s="32">
        <v>44109</v>
      </c>
      <c r="C105" s="42" t="s">
        <v>11</v>
      </c>
      <c r="D105" s="32">
        <v>44109</v>
      </c>
      <c r="E105" s="148"/>
      <c r="F105" s="45" t="s">
        <v>23</v>
      </c>
      <c r="G105" s="33" t="s">
        <v>88</v>
      </c>
      <c r="H105" s="47">
        <v>52</v>
      </c>
      <c r="I105" s="47">
        <v>1</v>
      </c>
      <c r="J105" s="47">
        <f>+'INVENTARIO ENERO-MARZO 2021'!$H105-'INVENTARIO ENERO-MARZO 2021'!$I105</f>
        <v>51</v>
      </c>
      <c r="K105" s="47"/>
      <c r="L105" s="47"/>
      <c r="M105" s="47">
        <f>5+5+5+2+2</f>
        <v>19</v>
      </c>
      <c r="N105" s="47">
        <f>1+1</f>
        <v>2</v>
      </c>
      <c r="O105" s="47">
        <f>+Tabla1[[#This Row],[STOCK    FISICO ENERO 2021]]-Tabla1[[#This Row],[REQUISICIONES FEBRERO 2021]]</f>
        <v>32</v>
      </c>
      <c r="P105" s="47">
        <f>+Tabla1[[#This Row],[STOCK  FEBRERO 2021]]-Tabla1[[#This Row],[REQUISICIONES MARZO 2021]]+Tabla1[[#This Row],[ENTRADAS MARZO 2021]]</f>
        <v>30</v>
      </c>
      <c r="Q105" s="31" t="s">
        <v>12</v>
      </c>
      <c r="R105" s="46">
        <v>10.6</v>
      </c>
      <c r="S105" s="36">
        <f t="shared" si="2"/>
        <v>12.507999999999999</v>
      </c>
      <c r="T105" s="100">
        <f>Tabla1[[#This Row],[STOCK MARZO ]]*Tabla1[[#This Row],[COSTO UNITARIO SIN ITBIS]]</f>
        <v>318</v>
      </c>
    </row>
    <row r="106" spans="1:20" s="9" customFormat="1" x14ac:dyDescent="0.25">
      <c r="A106" s="96">
        <v>97</v>
      </c>
      <c r="B106" s="127">
        <v>44286</v>
      </c>
      <c r="C106" s="42" t="s">
        <v>11</v>
      </c>
      <c r="D106" s="127">
        <v>44286</v>
      </c>
      <c r="E106" s="149" t="s">
        <v>814</v>
      </c>
      <c r="F106" s="145"/>
      <c r="G106" s="33" t="s">
        <v>88</v>
      </c>
      <c r="H106" s="137"/>
      <c r="I106" s="137"/>
      <c r="J106" s="137">
        <f>+'INVENTARIO ENERO-MARZO 2021'!$H106-'INVENTARIO ENERO-MARZO 2021'!$I106</f>
        <v>0</v>
      </c>
      <c r="K106" s="137"/>
      <c r="L106" s="137">
        <v>48</v>
      </c>
      <c r="M106" s="137"/>
      <c r="N106" s="137"/>
      <c r="O106" s="132">
        <f>+Tabla1[[#This Row],[STOCK    FISICO ENERO 2021]]-Tabla1[[#This Row],[REQUISICIONES FEBRERO 2021]]</f>
        <v>0</v>
      </c>
      <c r="P106" s="132">
        <f>+Tabla1[[#This Row],[STOCK  FEBRERO 2021]]-Tabla1[[#This Row],[REQUISICIONES MARZO 2021]]+Tabla1[[#This Row],[ENTRADAS MARZO 2021]]</f>
        <v>48</v>
      </c>
      <c r="Q106" s="31" t="s">
        <v>12</v>
      </c>
      <c r="R106" s="133">
        <v>12</v>
      </c>
      <c r="S106" s="100">
        <f t="shared" si="2"/>
        <v>14.16</v>
      </c>
      <c r="T106" s="100">
        <f>Tabla1[[#This Row],[STOCK MARZO ]]*Tabla1[[#This Row],[COSTO UNITARIO SIN ITBIS]]</f>
        <v>576</v>
      </c>
    </row>
    <row r="107" spans="1:20" s="9" customFormat="1" x14ac:dyDescent="0.25">
      <c r="A107" s="96">
        <v>98</v>
      </c>
      <c r="B107" s="32">
        <v>44109</v>
      </c>
      <c r="C107" s="42" t="s">
        <v>11</v>
      </c>
      <c r="D107" s="32">
        <v>44109</v>
      </c>
      <c r="E107" s="148"/>
      <c r="F107" s="45" t="s">
        <v>23</v>
      </c>
      <c r="G107" s="33" t="s">
        <v>89</v>
      </c>
      <c r="H107" s="47">
        <v>27</v>
      </c>
      <c r="I107" s="47"/>
      <c r="J107" s="47">
        <f>+'INVENTARIO ENERO-MARZO 2021'!$H107-'INVENTARIO ENERO-MARZO 2021'!$I107</f>
        <v>27</v>
      </c>
      <c r="K107" s="47"/>
      <c r="L107" s="47"/>
      <c r="M107" s="47">
        <f>3+2+2+2</f>
        <v>9</v>
      </c>
      <c r="N107" s="47">
        <v>2</v>
      </c>
      <c r="O107" s="47">
        <f>+Tabla1[[#This Row],[STOCK    FISICO ENERO 2021]]-Tabla1[[#This Row],[REQUISICIONES FEBRERO 2021]]</f>
        <v>18</v>
      </c>
      <c r="P107" s="47">
        <f>+Tabla1[[#This Row],[STOCK  FEBRERO 2021]]-Tabla1[[#This Row],[REQUISICIONES MARZO 2021]]+Tabla1[[#This Row],[ENTRADAS MARZO 2021]]</f>
        <v>16</v>
      </c>
      <c r="Q107" s="31" t="s">
        <v>12</v>
      </c>
      <c r="R107" s="46">
        <v>10.6</v>
      </c>
      <c r="S107" s="36">
        <f t="shared" si="2"/>
        <v>12.507999999999999</v>
      </c>
      <c r="T107" s="100">
        <f>Tabla1[[#This Row],[STOCK MARZO ]]*Tabla1[[#This Row],[COSTO UNITARIO SIN ITBIS]]</f>
        <v>169.6</v>
      </c>
    </row>
    <row r="108" spans="1:20" s="9" customFormat="1" x14ac:dyDescent="0.25">
      <c r="A108" s="96">
        <v>99</v>
      </c>
      <c r="B108" s="127">
        <v>44286</v>
      </c>
      <c r="C108" s="42" t="s">
        <v>11</v>
      </c>
      <c r="D108" s="127">
        <v>44286</v>
      </c>
      <c r="E108" s="149" t="s">
        <v>814</v>
      </c>
      <c r="F108" s="145"/>
      <c r="G108" s="33" t="s">
        <v>89</v>
      </c>
      <c r="H108" s="137"/>
      <c r="I108" s="137"/>
      <c r="J108" s="137">
        <f>+'INVENTARIO ENERO-MARZO 2021'!$H108-'INVENTARIO ENERO-MARZO 2021'!$I108</f>
        <v>0</v>
      </c>
      <c r="K108" s="137"/>
      <c r="L108" s="137">
        <v>50</v>
      </c>
      <c r="M108" s="137"/>
      <c r="N108" s="137"/>
      <c r="O108" s="132">
        <f>+Tabla1[[#This Row],[STOCK    FISICO ENERO 2021]]-Tabla1[[#This Row],[REQUISICIONES FEBRERO 2021]]</f>
        <v>0</v>
      </c>
      <c r="P108" s="132">
        <f>+Tabla1[[#This Row],[STOCK  FEBRERO 2021]]-Tabla1[[#This Row],[REQUISICIONES MARZO 2021]]+Tabla1[[#This Row],[ENTRADAS MARZO 2021]]</f>
        <v>50</v>
      </c>
      <c r="Q108" s="31" t="s">
        <v>12</v>
      </c>
      <c r="R108" s="133">
        <v>12</v>
      </c>
      <c r="S108" s="100">
        <f t="shared" si="2"/>
        <v>14.16</v>
      </c>
      <c r="T108" s="100">
        <f>Tabla1[[#This Row],[STOCK MARZO ]]*Tabla1[[#This Row],[COSTO UNITARIO SIN ITBIS]]</f>
        <v>600</v>
      </c>
    </row>
    <row r="109" spans="1:20" s="9" customFormat="1" x14ac:dyDescent="0.25">
      <c r="A109" s="96">
        <v>100</v>
      </c>
      <c r="B109" s="32">
        <v>44109</v>
      </c>
      <c r="C109" s="29" t="s">
        <v>11</v>
      </c>
      <c r="D109" s="32">
        <v>44109</v>
      </c>
      <c r="E109" s="148"/>
      <c r="F109" s="45" t="s">
        <v>23</v>
      </c>
      <c r="G109" s="33" t="s">
        <v>90</v>
      </c>
      <c r="H109" s="47">
        <v>24</v>
      </c>
      <c r="I109" s="47"/>
      <c r="J109" s="47">
        <f>+'INVENTARIO ENERO-MARZO 2021'!$H109-'INVENTARIO ENERO-MARZO 2021'!$I109</f>
        <v>24</v>
      </c>
      <c r="K109" s="47"/>
      <c r="L109" s="47"/>
      <c r="M109" s="47">
        <f>2+2</f>
        <v>4</v>
      </c>
      <c r="N109" s="47"/>
      <c r="O109" s="47">
        <f>+Tabla1[[#This Row],[STOCK    FISICO ENERO 2021]]-Tabla1[[#This Row],[REQUISICIONES FEBRERO 2021]]</f>
        <v>20</v>
      </c>
      <c r="P109" s="47">
        <f>+Tabla1[[#This Row],[STOCK  FEBRERO 2021]]-Tabla1[[#This Row],[REQUISICIONES MARZO 2021]]+Tabla1[[#This Row],[ENTRADAS MARZO 2021]]</f>
        <v>20</v>
      </c>
      <c r="Q109" s="31" t="s">
        <v>12</v>
      </c>
      <c r="R109" s="46">
        <v>10.6</v>
      </c>
      <c r="S109" s="36">
        <f t="shared" si="2"/>
        <v>12.507999999999999</v>
      </c>
      <c r="T109" s="100">
        <f>Tabla1[[#This Row],[STOCK MARZO ]]*Tabla1[[#This Row],[COSTO UNITARIO SIN ITBIS]]</f>
        <v>212</v>
      </c>
    </row>
    <row r="110" spans="1:20" s="9" customFormat="1" x14ac:dyDescent="0.25">
      <c r="A110" s="96">
        <v>101</v>
      </c>
      <c r="B110" s="127">
        <v>44286</v>
      </c>
      <c r="C110" s="29" t="s">
        <v>11</v>
      </c>
      <c r="D110" s="127">
        <v>44286</v>
      </c>
      <c r="E110" s="149" t="s">
        <v>814</v>
      </c>
      <c r="F110" s="145"/>
      <c r="G110" s="33" t="s">
        <v>90</v>
      </c>
      <c r="H110" s="137"/>
      <c r="I110" s="137"/>
      <c r="J110" s="137">
        <f>+'INVENTARIO ENERO-MARZO 2021'!$H110-'INVENTARIO ENERO-MARZO 2021'!$I110</f>
        <v>0</v>
      </c>
      <c r="K110" s="137"/>
      <c r="L110" s="137">
        <v>50</v>
      </c>
      <c r="M110" s="137"/>
      <c r="N110" s="137"/>
      <c r="O110" s="132">
        <f>+Tabla1[[#This Row],[STOCK    FISICO ENERO 2021]]-Tabla1[[#This Row],[REQUISICIONES FEBRERO 2021]]</f>
        <v>0</v>
      </c>
      <c r="P110" s="132">
        <f>+Tabla1[[#This Row],[STOCK  FEBRERO 2021]]-Tabla1[[#This Row],[REQUISICIONES MARZO 2021]]+Tabla1[[#This Row],[ENTRADAS MARZO 2021]]</f>
        <v>50</v>
      </c>
      <c r="Q110" s="31" t="s">
        <v>12</v>
      </c>
      <c r="R110" s="133">
        <v>12</v>
      </c>
      <c r="S110" s="100">
        <f t="shared" si="2"/>
        <v>14.16</v>
      </c>
      <c r="T110" s="100">
        <f>Tabla1[[#This Row],[STOCK MARZO ]]*Tabla1[[#This Row],[COSTO UNITARIO SIN ITBIS]]</f>
        <v>600</v>
      </c>
    </row>
    <row r="111" spans="1:20" s="9" customFormat="1" ht="13.5" customHeight="1" x14ac:dyDescent="0.25">
      <c r="A111" s="96">
        <v>102</v>
      </c>
      <c r="B111" s="32">
        <v>43724</v>
      </c>
      <c r="C111" s="29" t="s">
        <v>11</v>
      </c>
      <c r="D111" s="32">
        <v>43724</v>
      </c>
      <c r="E111" s="148"/>
      <c r="F111" s="29">
        <v>1381</v>
      </c>
      <c r="G111" s="33" t="s">
        <v>91</v>
      </c>
      <c r="H111" s="47">
        <v>492</v>
      </c>
      <c r="I111" s="47">
        <v>1</v>
      </c>
      <c r="J111" s="47">
        <f>+'INVENTARIO ENERO-MARZO 2021'!$H111-'INVENTARIO ENERO-MARZO 2021'!$I111</f>
        <v>491</v>
      </c>
      <c r="K111" s="47"/>
      <c r="L111" s="47"/>
      <c r="M111" s="47">
        <f>2+2</f>
        <v>4</v>
      </c>
      <c r="N111" s="47">
        <f>1+1</f>
        <v>2</v>
      </c>
      <c r="O111" s="47">
        <f>+Tabla1[[#This Row],[STOCK    FISICO ENERO 2021]]-Tabla1[[#This Row],[REQUISICIONES FEBRERO 2021]]</f>
        <v>487</v>
      </c>
      <c r="P111" s="47">
        <f>+Tabla1[[#This Row],[STOCK  FEBRERO 2021]]-Tabla1[[#This Row],[REQUISICIONES MARZO 2021]]+Tabla1[[#This Row],[ENTRADAS MARZO 2021]]</f>
        <v>485</v>
      </c>
      <c r="Q111" s="31" t="s">
        <v>12</v>
      </c>
      <c r="R111" s="35">
        <v>8.5</v>
      </c>
      <c r="S111" s="36">
        <f t="shared" si="2"/>
        <v>10.029999999999999</v>
      </c>
      <c r="T111" s="100">
        <f>Tabla1[[#This Row],[STOCK MARZO ]]*Tabla1[[#This Row],[COSTO UNITARIO SIN ITBIS]]</f>
        <v>4122.5</v>
      </c>
    </row>
    <row r="112" spans="1:20" s="9" customFormat="1" ht="13.5" customHeight="1" x14ac:dyDescent="0.25">
      <c r="A112" s="96">
        <v>103</v>
      </c>
      <c r="B112" s="32">
        <v>44028</v>
      </c>
      <c r="C112" s="29" t="s">
        <v>11</v>
      </c>
      <c r="D112" s="32">
        <v>44028</v>
      </c>
      <c r="E112" s="148"/>
      <c r="F112" s="29">
        <v>1813</v>
      </c>
      <c r="G112" s="39" t="s">
        <v>92</v>
      </c>
      <c r="H112" s="34"/>
      <c r="I112" s="34"/>
      <c r="J112" s="34">
        <f>+'INVENTARIO ENERO-MARZO 2021'!$H112-'INVENTARIO ENERO-MARZO 2021'!$I112</f>
        <v>0</v>
      </c>
      <c r="K112" s="34"/>
      <c r="L112" s="34"/>
      <c r="M112" s="34"/>
      <c r="N112" s="34"/>
      <c r="O112" s="34">
        <f>+Tabla1[[#This Row],[STOCK    FISICO ENERO 2021]]-Tabla1[[#This Row],[REQUISICIONES FEBRERO 2021]]</f>
        <v>0</v>
      </c>
      <c r="P112" s="34">
        <f>+Tabla1[[#This Row],[STOCK  FEBRERO 2021]]-Tabla1[[#This Row],[REQUISICIONES MARZO 2021]]+Tabla1[[#This Row],[ENTRADAS MARZO 2021]]</f>
        <v>0</v>
      </c>
      <c r="Q112" s="41" t="s">
        <v>12</v>
      </c>
      <c r="R112" s="35">
        <v>113.16</v>
      </c>
      <c r="S112" s="36">
        <f t="shared" si="2"/>
        <v>133.52879999999999</v>
      </c>
      <c r="T112" s="100">
        <f>Tabla1[[#This Row],[STOCK MARZO ]]*Tabla1[[#This Row],[COSTO UNITARIO SIN ITBIS]]</f>
        <v>0</v>
      </c>
    </row>
    <row r="113" spans="1:20" s="9" customFormat="1" ht="13.5" customHeight="1" x14ac:dyDescent="0.25">
      <c r="A113" s="96">
        <v>104</v>
      </c>
      <c r="B113" s="43">
        <v>43108</v>
      </c>
      <c r="C113" s="35" t="s">
        <v>11</v>
      </c>
      <c r="D113" s="43">
        <v>43108</v>
      </c>
      <c r="E113" s="150"/>
      <c r="F113" s="52">
        <v>1147</v>
      </c>
      <c r="G113" s="49" t="s">
        <v>93</v>
      </c>
      <c r="H113" s="38">
        <v>58</v>
      </c>
      <c r="I113" s="38"/>
      <c r="J113" s="38">
        <f>+'INVENTARIO ENERO-MARZO 2021'!$H113-'INVENTARIO ENERO-MARZO 2021'!$I113*100</f>
        <v>58</v>
      </c>
      <c r="K113" s="38"/>
      <c r="L113" s="38"/>
      <c r="M113" s="38">
        <v>1</v>
      </c>
      <c r="N113" s="38">
        <f>1+1</f>
        <v>2</v>
      </c>
      <c r="O113" s="38">
        <f>+Tabla1[[#This Row],[STOCK    FISICO ENERO 2021]]-Tabla1[[#This Row],[REQUISICIONES FEBRERO 2021]]</f>
        <v>57</v>
      </c>
      <c r="P113" s="38">
        <f>+Tabla1[[#This Row],[STOCK  FEBRERO 2021]]-Tabla1[[#This Row],[REQUISICIONES MARZO 2021]]+Tabla1[[#This Row],[ENTRADAS MARZO 2021]]</f>
        <v>55</v>
      </c>
      <c r="Q113" s="49" t="s">
        <v>51</v>
      </c>
      <c r="R113" s="53">
        <v>650</v>
      </c>
      <c r="S113" s="40">
        <f t="shared" si="2"/>
        <v>767</v>
      </c>
      <c r="T113" s="100">
        <f>Tabla1[[#This Row],[STOCK MARZO ]]*Tabla1[[#This Row],[COSTO UNITARIO SIN ITBIS]]</f>
        <v>35750</v>
      </c>
    </row>
    <row r="114" spans="1:20" s="9" customFormat="1" ht="13.5" customHeight="1" x14ac:dyDescent="0.25">
      <c r="A114" s="96">
        <v>105</v>
      </c>
      <c r="B114" s="32">
        <v>44286</v>
      </c>
      <c r="C114" s="29" t="s">
        <v>11</v>
      </c>
      <c r="D114" s="32">
        <v>44286</v>
      </c>
      <c r="E114" s="148" t="s">
        <v>827</v>
      </c>
      <c r="F114" s="29"/>
      <c r="G114" s="33" t="s">
        <v>94</v>
      </c>
      <c r="H114" s="47">
        <v>0</v>
      </c>
      <c r="I114" s="47"/>
      <c r="J114" s="47">
        <v>0</v>
      </c>
      <c r="K114" s="47"/>
      <c r="L114" s="47">
        <v>50</v>
      </c>
      <c r="M114" s="47"/>
      <c r="N114" s="47"/>
      <c r="O114" s="47"/>
      <c r="P114" s="47">
        <f>+Tabla1[[#This Row],[STOCK  FEBRERO 2021]]-Tabla1[[#This Row],[REQUISICIONES MARZO 2021]]+Tabla1[[#This Row],[ENTRADAS MARZO 2021]]</f>
        <v>50</v>
      </c>
      <c r="Q114" s="31" t="s">
        <v>12</v>
      </c>
      <c r="R114" s="35">
        <v>45</v>
      </c>
      <c r="S114" s="100">
        <f t="shared" si="2"/>
        <v>53.1</v>
      </c>
      <c r="T114" s="100">
        <f>Tabla1[[#This Row],[STOCK MARZO ]]*Tabla1[[#This Row],[COSTO UNITARIO SIN ITBIS]]</f>
        <v>2250</v>
      </c>
    </row>
    <row r="115" spans="1:20" s="9" customFormat="1" x14ac:dyDescent="0.25">
      <c r="A115" s="96">
        <v>106</v>
      </c>
      <c r="B115" s="43">
        <v>43440</v>
      </c>
      <c r="C115" s="42" t="s">
        <v>11</v>
      </c>
      <c r="D115" s="43">
        <v>43440</v>
      </c>
      <c r="E115" s="150"/>
      <c r="F115" s="44">
        <v>1150</v>
      </c>
      <c r="G115" s="41" t="s">
        <v>95</v>
      </c>
      <c r="H115" s="41">
        <v>10</v>
      </c>
      <c r="I115" s="41"/>
      <c r="J115" s="41">
        <f>+'INVENTARIO ENERO-MARZO 2021'!$H115-'INVENTARIO ENERO-MARZO 2021'!$I115</f>
        <v>10</v>
      </c>
      <c r="K115" s="41"/>
      <c r="L115" s="41"/>
      <c r="M115" s="41"/>
      <c r="N115" s="41"/>
      <c r="O115" s="41">
        <f>+Tabla1[[#This Row],[STOCK    FISICO ENERO 2021]]-Tabla1[[#This Row],[REQUISICIONES FEBRERO 2021]]</f>
        <v>10</v>
      </c>
      <c r="P115" s="41">
        <f>+Tabla1[[#This Row],[STOCK  FEBRERO 2021]]-Tabla1[[#This Row],[REQUISICIONES MARZO 2021]]+Tabla1[[#This Row],[ENTRADAS MARZO 2021]]</f>
        <v>10</v>
      </c>
      <c r="Q115" s="41" t="s">
        <v>12</v>
      </c>
      <c r="R115" s="46">
        <v>165.2</v>
      </c>
      <c r="S115" s="36">
        <f t="shared" si="2"/>
        <v>194.93599999999998</v>
      </c>
      <c r="T115" s="100">
        <f>Tabla1[[#This Row],[STOCK MARZO ]]*Tabla1[[#This Row],[COSTO UNITARIO SIN ITBIS]]</f>
        <v>1652</v>
      </c>
    </row>
    <row r="116" spans="1:20" s="9" customFormat="1" x14ac:dyDescent="0.25">
      <c r="A116" s="96">
        <v>107</v>
      </c>
      <c r="B116" s="127">
        <v>44286</v>
      </c>
      <c r="C116" s="42" t="s">
        <v>11</v>
      </c>
      <c r="D116" s="127">
        <v>44286</v>
      </c>
      <c r="E116" s="149" t="s">
        <v>814</v>
      </c>
      <c r="F116" s="129"/>
      <c r="G116" s="41" t="s">
        <v>820</v>
      </c>
      <c r="H116" s="131"/>
      <c r="I116" s="131"/>
      <c r="J116" s="131">
        <f>+'INVENTARIO ENERO-MARZO 2021'!$H116-'INVENTARIO ENERO-MARZO 2021'!$I116</f>
        <v>0</v>
      </c>
      <c r="K116" s="131"/>
      <c r="L116" s="131">
        <v>70</v>
      </c>
      <c r="M116" s="131"/>
      <c r="N116" s="131"/>
      <c r="O116" s="132">
        <f>+Tabla1[[#This Row],[STOCK    FISICO ENERO 2021]]-Tabla1[[#This Row],[REQUISICIONES FEBRERO 2021]]</f>
        <v>0</v>
      </c>
      <c r="P116" s="132">
        <f>+Tabla1[[#This Row],[STOCK  FEBRERO 2021]]-Tabla1[[#This Row],[REQUISICIONES MARZO 2021]]+Tabla1[[#This Row],[ENTRADAS MARZO 2021]]</f>
        <v>70</v>
      </c>
      <c r="Q116" s="41" t="s">
        <v>12</v>
      </c>
      <c r="R116" s="133">
        <v>165</v>
      </c>
      <c r="S116" s="100">
        <f t="shared" si="2"/>
        <v>194.7</v>
      </c>
      <c r="T116" s="100">
        <f>Tabla1[[#This Row],[STOCK MARZO ]]*Tabla1[[#This Row],[COSTO UNITARIO SIN ITBIS]]</f>
        <v>11550</v>
      </c>
    </row>
    <row r="117" spans="1:20" s="13" customFormat="1" x14ac:dyDescent="0.25">
      <c r="A117" s="96">
        <v>108</v>
      </c>
      <c r="B117" s="32">
        <v>43440</v>
      </c>
      <c r="C117" s="29" t="s">
        <v>11</v>
      </c>
      <c r="D117" s="32">
        <v>43440</v>
      </c>
      <c r="E117" s="148"/>
      <c r="F117" s="29">
        <v>1409</v>
      </c>
      <c r="G117" s="33" t="s">
        <v>96</v>
      </c>
      <c r="H117" s="34">
        <v>9</v>
      </c>
      <c r="I117" s="34"/>
      <c r="J117" s="34">
        <f>+'INVENTARIO ENERO-MARZO 2021'!$H117-'INVENTARIO ENERO-MARZO 2021'!$I117</f>
        <v>9</v>
      </c>
      <c r="K117" s="34"/>
      <c r="L117" s="34"/>
      <c r="M117" s="34">
        <v>1</v>
      </c>
      <c r="N117" s="34"/>
      <c r="O117" s="34">
        <f>+Tabla1[[#This Row],[STOCK    FISICO ENERO 2021]]-Tabla1[[#This Row],[REQUISICIONES FEBRERO 2021]]</f>
        <v>8</v>
      </c>
      <c r="P117" s="34">
        <f>+Tabla1[[#This Row],[STOCK  FEBRERO 2021]]-Tabla1[[#This Row],[REQUISICIONES MARZO 2021]]+Tabla1[[#This Row],[ENTRADAS MARZO 2021]]</f>
        <v>8</v>
      </c>
      <c r="Q117" s="31" t="s">
        <v>12</v>
      </c>
      <c r="R117" s="35">
        <v>189.98</v>
      </c>
      <c r="S117" s="36">
        <f t="shared" si="2"/>
        <v>224.1764</v>
      </c>
      <c r="T117" s="100">
        <f>Tabla1[[#This Row],[STOCK MARZO ]]*Tabla1[[#This Row],[COSTO UNITARIO SIN ITBIS]]</f>
        <v>1519.84</v>
      </c>
    </row>
    <row r="118" spans="1:20" s="13" customFormat="1" x14ac:dyDescent="0.25">
      <c r="A118" s="96">
        <v>109</v>
      </c>
      <c r="B118" s="127">
        <v>44286</v>
      </c>
      <c r="C118" s="42" t="s">
        <v>11</v>
      </c>
      <c r="D118" s="127">
        <v>44286</v>
      </c>
      <c r="E118" s="149" t="s">
        <v>814</v>
      </c>
      <c r="F118" s="129"/>
      <c r="G118" s="33" t="s">
        <v>96</v>
      </c>
      <c r="H118" s="131"/>
      <c r="I118" s="131"/>
      <c r="J118" s="131">
        <f>+'INVENTARIO ENERO-MARZO 2021'!$H118-'INVENTARIO ENERO-MARZO 2021'!$I118</f>
        <v>0</v>
      </c>
      <c r="K118" s="131"/>
      <c r="L118" s="131">
        <v>10</v>
      </c>
      <c r="M118" s="131"/>
      <c r="N118" s="131"/>
      <c r="O118" s="132">
        <f>+Tabla1[[#This Row],[STOCK    FISICO ENERO 2021]]-Tabla1[[#This Row],[REQUISICIONES FEBRERO 2021]]</f>
        <v>0</v>
      </c>
      <c r="P118" s="132">
        <f>+Tabla1[[#This Row],[STOCK  FEBRERO 2021]]-Tabla1[[#This Row],[REQUISICIONES MARZO 2021]]+Tabla1[[#This Row],[ENTRADAS MARZO 2021]]</f>
        <v>10</v>
      </c>
      <c r="Q118" s="31" t="s">
        <v>12</v>
      </c>
      <c r="R118" s="133">
        <v>210</v>
      </c>
      <c r="S118" s="100">
        <f t="shared" si="2"/>
        <v>247.8</v>
      </c>
      <c r="T118" s="100">
        <f>Tabla1[[#This Row],[STOCK MARZO ]]*Tabla1[[#This Row],[COSTO UNITARIO SIN ITBIS]]</f>
        <v>2100</v>
      </c>
    </row>
    <row r="119" spans="1:20" s="9" customFormat="1" x14ac:dyDescent="0.25">
      <c r="A119" s="96">
        <v>110</v>
      </c>
      <c r="B119" s="43">
        <v>43440</v>
      </c>
      <c r="C119" s="42" t="s">
        <v>11</v>
      </c>
      <c r="D119" s="43">
        <v>43440</v>
      </c>
      <c r="E119" s="150"/>
      <c r="F119" s="44">
        <v>1152</v>
      </c>
      <c r="G119" s="41" t="s">
        <v>97</v>
      </c>
      <c r="H119" s="41">
        <v>8</v>
      </c>
      <c r="I119" s="41"/>
      <c r="J119" s="41">
        <f>+'INVENTARIO ENERO-MARZO 2021'!$H119-'INVENTARIO ENERO-MARZO 2021'!$I119</f>
        <v>8</v>
      </c>
      <c r="K119" s="41"/>
      <c r="L119" s="41"/>
      <c r="M119" s="41">
        <f>4+4</f>
        <v>8</v>
      </c>
      <c r="N119" s="41"/>
      <c r="O119" s="41">
        <f>+Tabla1[[#This Row],[STOCK    FISICO ENERO 2021]]-Tabla1[[#This Row],[REQUISICIONES FEBRERO 2021]]</f>
        <v>0</v>
      </c>
      <c r="P119" s="41">
        <f>+Tabla1[[#This Row],[STOCK  FEBRERO 2021]]-Tabla1[[#This Row],[REQUISICIONES MARZO 2021]]+Tabla1[[#This Row],[ENTRADAS MARZO 2021]]</f>
        <v>0</v>
      </c>
      <c r="Q119" s="41" t="s">
        <v>12</v>
      </c>
      <c r="R119" s="46">
        <v>33.04</v>
      </c>
      <c r="S119" s="36">
        <f t="shared" si="2"/>
        <v>38.987200000000001</v>
      </c>
      <c r="T119" s="100">
        <f>Tabla1[[#This Row],[STOCK MARZO ]]*Tabla1[[#This Row],[COSTO UNITARIO SIN ITBIS]]</f>
        <v>0</v>
      </c>
    </row>
    <row r="120" spans="1:20" s="9" customFormat="1" x14ac:dyDescent="0.25">
      <c r="A120" s="96">
        <v>111</v>
      </c>
      <c r="B120" s="43">
        <v>43440</v>
      </c>
      <c r="C120" s="42" t="s">
        <v>11</v>
      </c>
      <c r="D120" s="43">
        <v>43440</v>
      </c>
      <c r="E120" s="150"/>
      <c r="F120" s="44">
        <v>1153</v>
      </c>
      <c r="G120" s="41" t="s">
        <v>98</v>
      </c>
      <c r="H120" s="41">
        <v>90</v>
      </c>
      <c r="I120" s="41">
        <v>2</v>
      </c>
      <c r="J120" s="41">
        <f>+'INVENTARIO ENERO-MARZO 2021'!$H120-'INVENTARIO ENERO-MARZO 2021'!$I120</f>
        <v>88</v>
      </c>
      <c r="K120" s="41"/>
      <c r="L120" s="41"/>
      <c r="M120" s="41">
        <f>4+2+2</f>
        <v>8</v>
      </c>
      <c r="N120" s="41">
        <v>2</v>
      </c>
      <c r="O120" s="41">
        <f>+Tabla1[[#This Row],[STOCK    FISICO ENERO 2021]]-Tabla1[[#This Row],[REQUISICIONES FEBRERO 2021]]</f>
        <v>80</v>
      </c>
      <c r="P120" s="41">
        <f>+Tabla1[[#This Row],[STOCK  FEBRERO 2021]]-Tabla1[[#This Row],[REQUISICIONES MARZO 2021]]+Tabla1[[#This Row],[ENTRADAS MARZO 2021]]</f>
        <v>78</v>
      </c>
      <c r="Q120" s="41" t="s">
        <v>12</v>
      </c>
      <c r="R120" s="46">
        <v>33.04</v>
      </c>
      <c r="S120" s="36">
        <f t="shared" si="2"/>
        <v>38.987200000000001</v>
      </c>
      <c r="T120" s="100">
        <f>Tabla1[[#This Row],[STOCK MARZO ]]*Tabla1[[#This Row],[COSTO UNITARIO SIN ITBIS]]</f>
        <v>2577.12</v>
      </c>
    </row>
    <row r="121" spans="1:20" s="9" customFormat="1" x14ac:dyDescent="0.25">
      <c r="A121" s="96">
        <v>112</v>
      </c>
      <c r="B121" s="32">
        <v>43724</v>
      </c>
      <c r="C121" s="29" t="s">
        <v>11</v>
      </c>
      <c r="D121" s="32">
        <v>43724</v>
      </c>
      <c r="E121" s="149"/>
      <c r="F121" s="29">
        <v>1405</v>
      </c>
      <c r="G121" s="33" t="s">
        <v>812</v>
      </c>
      <c r="H121" s="34">
        <v>12</v>
      </c>
      <c r="I121" s="34">
        <v>1</v>
      </c>
      <c r="J121" s="34">
        <f>+'INVENTARIO ENERO-MARZO 2021'!$H121-'INVENTARIO ENERO-MARZO 2021'!$I121</f>
        <v>11</v>
      </c>
      <c r="K121" s="34"/>
      <c r="L121" s="34"/>
      <c r="M121" s="34"/>
      <c r="N121" s="34">
        <v>1</v>
      </c>
      <c r="O121" s="34">
        <f>+Tabla1[[#This Row],[STOCK    FISICO ENERO 2021]]-Tabla1[[#This Row],[REQUISICIONES FEBRERO 2021]]</f>
        <v>11</v>
      </c>
      <c r="P121" s="34">
        <f>+Tabla1[[#This Row],[STOCK  FEBRERO 2021]]-Tabla1[[#This Row],[REQUISICIONES MARZO 2021]]+Tabla1[[#This Row],[ENTRADAS MARZO 2021]]</f>
        <v>10</v>
      </c>
      <c r="Q121" s="31" t="s">
        <v>12</v>
      </c>
      <c r="R121" s="35">
        <v>772.9</v>
      </c>
      <c r="S121" s="36">
        <f t="shared" si="2"/>
        <v>912.02199999999993</v>
      </c>
      <c r="T121" s="100">
        <f>Tabla1[[#This Row],[STOCK MARZO ]]*Tabla1[[#This Row],[COSTO UNITARIO SIN ITBIS]]</f>
        <v>7729</v>
      </c>
    </row>
    <row r="122" spans="1:20" s="9" customFormat="1" x14ac:dyDescent="0.25">
      <c r="A122" s="96">
        <v>113</v>
      </c>
      <c r="B122" s="127" t="s">
        <v>815</v>
      </c>
      <c r="C122" s="29" t="s">
        <v>11</v>
      </c>
      <c r="D122" s="127">
        <v>44285</v>
      </c>
      <c r="E122" s="148" t="s">
        <v>814</v>
      </c>
      <c r="F122" s="129"/>
      <c r="G122" s="33" t="s">
        <v>816</v>
      </c>
      <c r="H122" s="131"/>
      <c r="I122" s="131"/>
      <c r="J122" s="131">
        <f>+'INVENTARIO ENERO-MARZO 2021'!$H122-'INVENTARIO ENERO-MARZO 2021'!$I122</f>
        <v>0</v>
      </c>
      <c r="K122" s="131"/>
      <c r="L122" s="131">
        <v>10</v>
      </c>
      <c r="M122" s="131"/>
      <c r="N122" s="131"/>
      <c r="O122" s="132">
        <f>+Tabla1[[#This Row],[STOCK    FISICO ENERO 2021]]-Tabla1[[#This Row],[REQUISICIONES FEBRERO 2021]]</f>
        <v>0</v>
      </c>
      <c r="P122" s="132">
        <f>+Tabla1[[#This Row],[STOCK  FEBRERO 2021]]-Tabla1[[#This Row],[REQUISICIONES MARZO 2021]]+Tabla1[[#This Row],[ENTRADAS MARZO 2021]]</f>
        <v>10</v>
      </c>
      <c r="Q122" s="31" t="s">
        <v>12</v>
      </c>
      <c r="R122" s="133">
        <v>728</v>
      </c>
      <c r="S122" s="100" t="s">
        <v>805</v>
      </c>
      <c r="T122" s="100">
        <f>Tabla1[[#This Row],[STOCK MARZO ]]*Tabla1[[#This Row],[COSTO UNITARIO SIN ITBIS]]</f>
        <v>7280</v>
      </c>
    </row>
    <row r="123" spans="1:20" s="9" customFormat="1" x14ac:dyDescent="0.25">
      <c r="A123" s="96">
        <v>114</v>
      </c>
      <c r="B123" s="127">
        <v>44285</v>
      </c>
      <c r="C123" s="29" t="s">
        <v>11</v>
      </c>
      <c r="D123" s="127">
        <v>44285</v>
      </c>
      <c r="E123" s="148" t="s">
        <v>814</v>
      </c>
      <c r="F123" s="129"/>
      <c r="G123" s="33" t="s">
        <v>813</v>
      </c>
      <c r="H123" s="131"/>
      <c r="I123" s="131"/>
      <c r="J123" s="131">
        <f>+'INVENTARIO ENERO-MARZO 2021'!$H123-'INVENTARIO ENERO-MARZO 2021'!$I123</f>
        <v>0</v>
      </c>
      <c r="K123" s="131"/>
      <c r="L123" s="131">
        <v>18</v>
      </c>
      <c r="M123" s="131"/>
      <c r="N123" s="131"/>
      <c r="O123" s="132">
        <f>+Tabla1[[#This Row],[STOCK    FISICO ENERO 2021]]-Tabla1[[#This Row],[REQUISICIONES FEBRERO 2021]]</f>
        <v>0</v>
      </c>
      <c r="P123" s="132">
        <f>+Tabla1[[#This Row],[STOCK  FEBRERO 2021]]-Tabla1[[#This Row],[REQUISICIONES MARZO 2021]]+Tabla1[[#This Row],[ENTRADAS MARZO 2021]]</f>
        <v>18</v>
      </c>
      <c r="Q123" s="31" t="s">
        <v>12</v>
      </c>
      <c r="R123" s="133">
        <v>595</v>
      </c>
      <c r="S123" s="100" t="s">
        <v>805</v>
      </c>
      <c r="T123" s="100">
        <f>Tabla1[[#This Row],[STOCK MARZO ]]*Tabla1[[#This Row],[COSTO UNITARIO SIN ITBIS]]</f>
        <v>10710</v>
      </c>
    </row>
    <row r="124" spans="1:20" s="9" customFormat="1" x14ac:dyDescent="0.25">
      <c r="A124" s="96">
        <v>115</v>
      </c>
      <c r="B124" s="32">
        <v>43440</v>
      </c>
      <c r="C124" s="29" t="s">
        <v>11</v>
      </c>
      <c r="D124" s="32">
        <v>43440</v>
      </c>
      <c r="E124" s="148"/>
      <c r="F124" s="29">
        <v>1416</v>
      </c>
      <c r="G124" s="33" t="s">
        <v>99</v>
      </c>
      <c r="H124" s="34">
        <v>64</v>
      </c>
      <c r="I124" s="34"/>
      <c r="J124" s="34">
        <f>+'INVENTARIO ENERO-MARZO 2021'!$H124-'INVENTARIO ENERO-MARZO 2021'!$I124</f>
        <v>64</v>
      </c>
      <c r="K124" s="34"/>
      <c r="L124" s="34"/>
      <c r="M124" s="34"/>
      <c r="N124" s="34">
        <f>2+10+4</f>
        <v>16</v>
      </c>
      <c r="O124" s="34">
        <f>+Tabla1[[#This Row],[STOCK    FISICO ENERO 2021]]-Tabla1[[#This Row],[REQUISICIONES FEBRERO 2021]]</f>
        <v>64</v>
      </c>
      <c r="P124" s="34">
        <f>+Tabla1[[#This Row],[STOCK  FEBRERO 2021]]-Tabla1[[#This Row],[REQUISICIONES MARZO 2021]]+Tabla1[[#This Row],[ENTRADAS MARZO 2021]]</f>
        <v>48</v>
      </c>
      <c r="Q124" s="31" t="s">
        <v>12</v>
      </c>
      <c r="R124" s="35">
        <v>27.14</v>
      </c>
      <c r="S124" s="36">
        <f t="shared" si="2"/>
        <v>32.025199999999998</v>
      </c>
      <c r="T124" s="100">
        <f>Tabla1[[#This Row],[STOCK MARZO ]]*Tabla1[[#This Row],[COSTO UNITARIO SIN ITBIS]]</f>
        <v>1302.72</v>
      </c>
    </row>
    <row r="125" spans="1:20" s="9" customFormat="1" x14ac:dyDescent="0.25">
      <c r="A125" s="96">
        <v>116</v>
      </c>
      <c r="B125" s="32">
        <v>43671</v>
      </c>
      <c r="C125" s="29" t="s">
        <v>11</v>
      </c>
      <c r="D125" s="32">
        <v>43671</v>
      </c>
      <c r="E125" s="148"/>
      <c r="F125" s="29">
        <v>1407</v>
      </c>
      <c r="G125" s="33" t="s">
        <v>100</v>
      </c>
      <c r="H125" s="34">
        <v>82</v>
      </c>
      <c r="I125" s="34">
        <v>1</v>
      </c>
      <c r="J125" s="34">
        <f>+'INVENTARIO ENERO-MARZO 2021'!$H125-'INVENTARIO ENERO-MARZO 2021'!$I125</f>
        <v>81</v>
      </c>
      <c r="K125" s="34"/>
      <c r="L125" s="34"/>
      <c r="M125" s="34">
        <f>2+1</f>
        <v>3</v>
      </c>
      <c r="N125" s="34">
        <f>2+1+2+1+1+4</f>
        <v>11</v>
      </c>
      <c r="O125" s="34">
        <f>+Tabla1[[#This Row],[STOCK    FISICO ENERO 2021]]-Tabla1[[#This Row],[REQUISICIONES FEBRERO 2021]]</f>
        <v>78</v>
      </c>
      <c r="P125" s="34">
        <f>+Tabla1[[#This Row],[STOCK  FEBRERO 2021]]-Tabla1[[#This Row],[REQUISICIONES MARZO 2021]]+Tabla1[[#This Row],[ENTRADAS MARZO 2021]]</f>
        <v>67</v>
      </c>
      <c r="Q125" s="31" t="s">
        <v>12</v>
      </c>
      <c r="R125" s="35">
        <v>55.75</v>
      </c>
      <c r="S125" s="36">
        <f t="shared" si="2"/>
        <v>65.784999999999997</v>
      </c>
      <c r="T125" s="100">
        <f>Tabla1[[#This Row],[STOCK MARZO ]]*Tabla1[[#This Row],[COSTO UNITARIO SIN ITBIS]]</f>
        <v>3735.25</v>
      </c>
    </row>
    <row r="126" spans="1:20" s="9" customFormat="1" x14ac:dyDescent="0.25">
      <c r="A126" s="96">
        <v>117</v>
      </c>
      <c r="B126" s="127">
        <v>44285</v>
      </c>
      <c r="C126" s="29" t="s">
        <v>11</v>
      </c>
      <c r="D126" s="127">
        <v>44285</v>
      </c>
      <c r="E126" s="149" t="s">
        <v>797</v>
      </c>
      <c r="F126" s="129"/>
      <c r="G126" s="33" t="s">
        <v>806</v>
      </c>
      <c r="H126" s="131"/>
      <c r="I126" s="131"/>
      <c r="J126" s="131">
        <f>+'INVENTARIO ENERO-MARZO 2021'!$H126-'INVENTARIO ENERO-MARZO 2021'!$I126</f>
        <v>0</v>
      </c>
      <c r="K126" s="131"/>
      <c r="L126" s="131">
        <v>35</v>
      </c>
      <c r="M126" s="131"/>
      <c r="N126" s="131"/>
      <c r="O126" s="132">
        <f>+Tabla1[[#This Row],[STOCK    FISICO ENERO 2021]]-Tabla1[[#This Row],[REQUISICIONES FEBRERO 2021]]</f>
        <v>0</v>
      </c>
      <c r="P126" s="132">
        <f>+Tabla1[[#This Row],[STOCK  FEBRERO 2021]]-Tabla1[[#This Row],[REQUISICIONES MARZO 2021]]+Tabla1[[#This Row],[ENTRADAS MARZO 2021]]</f>
        <v>35</v>
      </c>
      <c r="Q126" s="31" t="s">
        <v>12</v>
      </c>
      <c r="R126" s="133">
        <v>40</v>
      </c>
      <c r="S126" s="100">
        <f t="shared" si="2"/>
        <v>47.2</v>
      </c>
      <c r="T126" s="100">
        <f>Tabla1[[#This Row],[STOCK MARZO ]]*Tabla1[[#This Row],[COSTO UNITARIO SIN ITBIS]]</f>
        <v>1400</v>
      </c>
    </row>
    <row r="127" spans="1:20" s="9" customFormat="1" x14ac:dyDescent="0.25">
      <c r="A127" s="96">
        <v>118</v>
      </c>
      <c r="B127" s="32">
        <v>43440</v>
      </c>
      <c r="C127" s="29" t="s">
        <v>11</v>
      </c>
      <c r="D127" s="32">
        <v>43440</v>
      </c>
      <c r="E127" s="148"/>
      <c r="F127" s="29">
        <v>1352</v>
      </c>
      <c r="G127" s="39" t="s">
        <v>101</v>
      </c>
      <c r="H127" s="34">
        <v>72</v>
      </c>
      <c r="I127" s="34">
        <f>2+5+3+10+4+10+3</f>
        <v>37</v>
      </c>
      <c r="J127" s="34">
        <f>+'INVENTARIO ENERO-MARZO 2021'!$H127-'INVENTARIO ENERO-MARZO 2021'!$I127</f>
        <v>35</v>
      </c>
      <c r="K127" s="34"/>
      <c r="L127" s="34"/>
      <c r="M127" s="34">
        <f>6+3+2+3+2+2+3+2+2+1+3+3+3</f>
        <v>35</v>
      </c>
      <c r="N127" s="34"/>
      <c r="O127" s="34">
        <f>+Tabla1[[#This Row],[STOCK    FISICO ENERO 2021]]-Tabla1[[#This Row],[REQUISICIONES FEBRERO 2021]]</f>
        <v>0</v>
      </c>
      <c r="P127" s="34">
        <f>+Tabla1[[#This Row],[STOCK  FEBRERO 2021]]-Tabla1[[#This Row],[REQUISICIONES MARZO 2021]]+Tabla1[[#This Row],[ENTRADAS MARZO 2021]]</f>
        <v>0</v>
      </c>
      <c r="Q127" s="31" t="s">
        <v>12</v>
      </c>
      <c r="R127" s="35">
        <v>14.16</v>
      </c>
      <c r="S127" s="36">
        <f t="shared" si="2"/>
        <v>16.7088</v>
      </c>
      <c r="T127" s="100">
        <f>Tabla1[[#This Row],[STOCK MARZO ]]*Tabla1[[#This Row],[COSTO UNITARIO SIN ITBIS]]</f>
        <v>0</v>
      </c>
    </row>
    <row r="128" spans="1:20" s="9" customFormat="1" x14ac:dyDescent="0.25">
      <c r="A128" s="96">
        <v>119</v>
      </c>
      <c r="B128" s="32">
        <v>43440</v>
      </c>
      <c r="C128" s="29" t="s">
        <v>11</v>
      </c>
      <c r="D128" s="32">
        <v>43440</v>
      </c>
      <c r="E128" s="148"/>
      <c r="F128" s="29">
        <v>1353</v>
      </c>
      <c r="G128" s="39" t="s">
        <v>102</v>
      </c>
      <c r="H128" s="34">
        <f>595+29</f>
        <v>624</v>
      </c>
      <c r="I128" s="34">
        <f>3+10</f>
        <v>13</v>
      </c>
      <c r="J128" s="34">
        <f>+'INVENTARIO ENERO-MARZO 2021'!$H128-'INVENTARIO ENERO-MARZO 2021'!$I128</f>
        <v>611</v>
      </c>
      <c r="K128" s="34"/>
      <c r="L128" s="34"/>
      <c r="M128" s="34">
        <f>3+4+2+1+3+8+2+5+3</f>
        <v>31</v>
      </c>
      <c r="N128" s="34">
        <f>4+1+3+3+4+4+4+2+4+2+3+4+3+6+5+4+10</f>
        <v>66</v>
      </c>
      <c r="O128" s="34">
        <f>+Tabla1[[#This Row],[STOCK    FISICO ENERO 2021]]-Tabla1[[#This Row],[REQUISICIONES FEBRERO 2021]]</f>
        <v>580</v>
      </c>
      <c r="P128" s="34">
        <f>+Tabla1[[#This Row],[STOCK  FEBRERO 2021]]-Tabla1[[#This Row],[REQUISICIONES MARZO 2021]]+Tabla1[[#This Row],[ENTRADAS MARZO 2021]]</f>
        <v>514</v>
      </c>
      <c r="Q128" s="31" t="s">
        <v>12</v>
      </c>
      <c r="R128" s="35">
        <v>22.66</v>
      </c>
      <c r="S128" s="36">
        <f t="shared" si="2"/>
        <v>26.738800000000001</v>
      </c>
      <c r="T128" s="100">
        <f>Tabla1[[#This Row],[STOCK MARZO ]]*Tabla1[[#This Row],[COSTO UNITARIO SIN ITBIS]]</f>
        <v>11647.24</v>
      </c>
    </row>
    <row r="129" spans="1:20" s="9" customFormat="1" x14ac:dyDescent="0.25">
      <c r="A129" s="96">
        <v>120</v>
      </c>
      <c r="B129" s="32">
        <v>43671</v>
      </c>
      <c r="C129" s="29" t="s">
        <v>11</v>
      </c>
      <c r="D129" s="32">
        <v>43671</v>
      </c>
      <c r="E129" s="148"/>
      <c r="F129" s="29">
        <v>1383</v>
      </c>
      <c r="G129" s="33" t="s">
        <v>103</v>
      </c>
      <c r="H129" s="34">
        <v>49</v>
      </c>
      <c r="I129" s="34"/>
      <c r="J129" s="34">
        <f>+'INVENTARIO ENERO-MARZO 2021'!$H129-'INVENTARIO ENERO-MARZO 2021'!$I129</f>
        <v>49</v>
      </c>
      <c r="K129" s="34"/>
      <c r="L129" s="34"/>
      <c r="M129" s="34">
        <v>1</v>
      </c>
      <c r="N129" s="34">
        <f>2+1</f>
        <v>3</v>
      </c>
      <c r="O129" s="34">
        <f>+Tabla1[[#This Row],[STOCK    FISICO ENERO 2021]]-Tabla1[[#This Row],[REQUISICIONES FEBRERO 2021]]</f>
        <v>48</v>
      </c>
      <c r="P129" s="34">
        <f>+Tabla1[[#This Row],[STOCK  FEBRERO 2021]]-Tabla1[[#This Row],[REQUISICIONES MARZO 2021]]+Tabla1[[#This Row],[ENTRADAS MARZO 2021]]</f>
        <v>45</v>
      </c>
      <c r="Q129" s="31" t="s">
        <v>12</v>
      </c>
      <c r="R129" s="35">
        <v>5.31</v>
      </c>
      <c r="S129" s="36">
        <f t="shared" si="2"/>
        <v>6.2657999999999996</v>
      </c>
      <c r="T129" s="100">
        <f>Tabla1[[#This Row],[STOCK MARZO ]]*Tabla1[[#This Row],[COSTO UNITARIO SIN ITBIS]]</f>
        <v>238.95</v>
      </c>
    </row>
    <row r="130" spans="1:20" s="9" customFormat="1" x14ac:dyDescent="0.25">
      <c r="A130" s="96">
        <v>121</v>
      </c>
      <c r="B130" s="43">
        <v>43724</v>
      </c>
      <c r="C130" s="42" t="s">
        <v>11</v>
      </c>
      <c r="D130" s="43">
        <v>43724</v>
      </c>
      <c r="E130" s="150"/>
      <c r="F130" s="44">
        <v>1162</v>
      </c>
      <c r="G130" s="41" t="s">
        <v>104</v>
      </c>
      <c r="H130" s="41">
        <v>84</v>
      </c>
      <c r="I130" s="41">
        <v>5</v>
      </c>
      <c r="J130" s="41">
        <f>+'INVENTARIO ENERO-MARZO 2021'!$H130-'INVENTARIO ENERO-MARZO 2021'!$I130</f>
        <v>79</v>
      </c>
      <c r="K130" s="41"/>
      <c r="L130" s="41"/>
      <c r="M130" s="41">
        <f>2+2+3+2+2</f>
        <v>11</v>
      </c>
      <c r="N130" s="41">
        <f>2+2+1+1+2+3+1+1+6+2+4</f>
        <v>25</v>
      </c>
      <c r="O130" s="41">
        <f>+Tabla1[[#This Row],[STOCK    FISICO ENERO 2021]]-Tabla1[[#This Row],[REQUISICIONES FEBRERO 2021]]</f>
        <v>68</v>
      </c>
      <c r="P130" s="41">
        <f>+Tabla1[[#This Row],[STOCK  FEBRERO 2021]]-Tabla1[[#This Row],[REQUISICIONES MARZO 2021]]+Tabla1[[#This Row],[ENTRADAS MARZO 2021]]</f>
        <v>43</v>
      </c>
      <c r="Q130" s="41" t="s">
        <v>12</v>
      </c>
      <c r="R130" s="46">
        <v>12.39</v>
      </c>
      <c r="S130" s="36">
        <f t="shared" si="2"/>
        <v>14.620200000000001</v>
      </c>
      <c r="T130" s="100">
        <f>Tabla1[[#This Row],[STOCK MARZO ]]*Tabla1[[#This Row],[COSTO UNITARIO SIN ITBIS]]</f>
        <v>532.77</v>
      </c>
    </row>
    <row r="131" spans="1:20" s="9" customFormat="1" x14ac:dyDescent="0.25">
      <c r="A131" s="96">
        <v>122</v>
      </c>
      <c r="B131" s="127">
        <v>44285</v>
      </c>
      <c r="C131" s="42" t="s">
        <v>11</v>
      </c>
      <c r="D131" s="127">
        <v>44285</v>
      </c>
      <c r="E131" s="149" t="s">
        <v>797</v>
      </c>
      <c r="F131" s="129"/>
      <c r="G131" s="41" t="s">
        <v>807</v>
      </c>
      <c r="H131" s="131"/>
      <c r="I131" s="131"/>
      <c r="J131" s="131">
        <f>+'INVENTARIO ENERO-MARZO 2021'!$H131-'INVENTARIO ENERO-MARZO 2021'!$I131</f>
        <v>0</v>
      </c>
      <c r="K131" s="131"/>
      <c r="L131" s="131">
        <v>24</v>
      </c>
      <c r="M131" s="131"/>
      <c r="N131" s="131"/>
      <c r="O131" s="132">
        <f>+Tabla1[[#This Row],[STOCK    FISICO ENERO 2021]]-Tabla1[[#This Row],[REQUISICIONES FEBRERO 2021]]</f>
        <v>0</v>
      </c>
      <c r="P131" s="132">
        <f>+Tabla1[[#This Row],[STOCK  FEBRERO 2021]]-Tabla1[[#This Row],[REQUISICIONES MARZO 2021]]+Tabla1[[#This Row],[ENTRADAS MARZO 2021]]</f>
        <v>24</v>
      </c>
      <c r="Q131" s="41" t="s">
        <v>12</v>
      </c>
      <c r="R131" s="133">
        <v>12</v>
      </c>
      <c r="S131" s="100">
        <f t="shared" si="2"/>
        <v>14.16</v>
      </c>
      <c r="T131" s="100">
        <f>Tabla1[[#This Row],[STOCK MARZO ]]*Tabla1[[#This Row],[COSTO UNITARIO SIN ITBIS]]</f>
        <v>288</v>
      </c>
    </row>
    <row r="132" spans="1:20" s="9" customFormat="1" x14ac:dyDescent="0.25">
      <c r="A132" s="96">
        <v>123</v>
      </c>
      <c r="B132" s="43">
        <v>43724</v>
      </c>
      <c r="C132" s="42" t="s">
        <v>11</v>
      </c>
      <c r="D132" s="43">
        <v>43724</v>
      </c>
      <c r="E132" s="150"/>
      <c r="F132" s="44">
        <v>1160</v>
      </c>
      <c r="G132" s="41" t="s">
        <v>105</v>
      </c>
      <c r="H132" s="41">
        <v>349</v>
      </c>
      <c r="I132" s="41"/>
      <c r="J132" s="41">
        <f>+'INVENTARIO ENERO-MARZO 2021'!$H132-'INVENTARIO ENERO-MARZO 2021'!$I132</f>
        <v>349</v>
      </c>
      <c r="K132" s="41"/>
      <c r="L132" s="41"/>
      <c r="M132" s="41">
        <f>2+2</f>
        <v>4</v>
      </c>
      <c r="N132" s="41">
        <f>1+1</f>
        <v>2</v>
      </c>
      <c r="O132" s="41">
        <f>+Tabla1[[#This Row],[STOCK    FISICO ENERO 2021]]-Tabla1[[#This Row],[REQUISICIONES FEBRERO 2021]]</f>
        <v>345</v>
      </c>
      <c r="P132" s="41">
        <f>+Tabla1[[#This Row],[STOCK  FEBRERO 2021]]-Tabla1[[#This Row],[REQUISICIONES MARZO 2021]]+Tabla1[[#This Row],[ENTRADAS MARZO 2021]]</f>
        <v>343</v>
      </c>
      <c r="Q132" s="41" t="s">
        <v>12</v>
      </c>
      <c r="R132" s="46">
        <v>12.39</v>
      </c>
      <c r="S132" s="36">
        <f t="shared" si="2"/>
        <v>14.620200000000001</v>
      </c>
      <c r="T132" s="100">
        <f>Tabla1[[#This Row],[STOCK MARZO ]]*Tabla1[[#This Row],[COSTO UNITARIO SIN ITBIS]]</f>
        <v>4249.7700000000004</v>
      </c>
    </row>
    <row r="133" spans="1:20" s="9" customFormat="1" x14ac:dyDescent="0.25">
      <c r="A133" s="96">
        <v>124</v>
      </c>
      <c r="B133" s="43">
        <v>43724</v>
      </c>
      <c r="C133" s="42" t="s">
        <v>11</v>
      </c>
      <c r="D133" s="43">
        <v>43724</v>
      </c>
      <c r="E133" s="150"/>
      <c r="F133" s="44">
        <v>1163</v>
      </c>
      <c r="G133" s="41" t="s">
        <v>106</v>
      </c>
      <c r="H133" s="41">
        <v>264</v>
      </c>
      <c r="I133" s="41"/>
      <c r="J133" s="41">
        <f>+'INVENTARIO ENERO-MARZO 2021'!$H133-'INVENTARIO ENERO-MARZO 2021'!$I133</f>
        <v>264</v>
      </c>
      <c r="K133" s="41"/>
      <c r="L133" s="41"/>
      <c r="M133" s="41">
        <f>2+3+2+2+2</f>
        <v>11</v>
      </c>
      <c r="N133" s="41">
        <f>2+3+1+12+4</f>
        <v>22</v>
      </c>
      <c r="O133" s="41">
        <f>+Tabla1[[#This Row],[STOCK    FISICO ENERO 2021]]-Tabla1[[#This Row],[REQUISICIONES FEBRERO 2021]]</f>
        <v>253</v>
      </c>
      <c r="P133" s="41">
        <f>+Tabla1[[#This Row],[STOCK  FEBRERO 2021]]-Tabla1[[#This Row],[REQUISICIONES MARZO 2021]]+Tabla1[[#This Row],[ENTRADAS MARZO 2021]]</f>
        <v>231</v>
      </c>
      <c r="Q133" s="41" t="s">
        <v>12</v>
      </c>
      <c r="R133" s="46">
        <v>12.39</v>
      </c>
      <c r="S133" s="36">
        <f t="shared" si="2"/>
        <v>14.620200000000001</v>
      </c>
      <c r="T133" s="100">
        <f>Tabla1[[#This Row],[STOCK MARZO ]]*Tabla1[[#This Row],[COSTO UNITARIO SIN ITBIS]]</f>
        <v>2862.09</v>
      </c>
    </row>
    <row r="134" spans="1:20" s="9" customFormat="1" x14ac:dyDescent="0.25">
      <c r="A134" s="96">
        <v>125</v>
      </c>
      <c r="B134" s="43">
        <v>43724</v>
      </c>
      <c r="C134" s="42" t="s">
        <v>11</v>
      </c>
      <c r="D134" s="43">
        <v>43724</v>
      </c>
      <c r="E134" s="150"/>
      <c r="F134" s="44">
        <v>1161</v>
      </c>
      <c r="G134" s="41" t="s">
        <v>107</v>
      </c>
      <c r="H134" s="41">
        <v>120</v>
      </c>
      <c r="I134" s="41"/>
      <c r="J134" s="41">
        <f>+'INVENTARIO ENERO-MARZO 2021'!$H134-'INVENTARIO ENERO-MARZO 2021'!$I134</f>
        <v>120</v>
      </c>
      <c r="K134" s="41"/>
      <c r="L134" s="41"/>
      <c r="M134" s="41">
        <f>2+3+2</f>
        <v>7</v>
      </c>
      <c r="N134" s="41">
        <f>2+1+6+12+4</f>
        <v>25</v>
      </c>
      <c r="O134" s="41">
        <f>+Tabla1[[#This Row],[STOCK    FISICO ENERO 2021]]-Tabla1[[#This Row],[REQUISICIONES FEBRERO 2021]]</f>
        <v>113</v>
      </c>
      <c r="P134" s="41">
        <f>+Tabla1[[#This Row],[STOCK  FEBRERO 2021]]-Tabla1[[#This Row],[REQUISICIONES MARZO 2021]]+Tabla1[[#This Row],[ENTRADAS MARZO 2021]]</f>
        <v>88</v>
      </c>
      <c r="Q134" s="41" t="s">
        <v>12</v>
      </c>
      <c r="R134" s="46">
        <v>12.39</v>
      </c>
      <c r="S134" s="36">
        <f t="shared" si="2"/>
        <v>14.620200000000001</v>
      </c>
      <c r="T134" s="100">
        <f>Tabla1[[#This Row],[STOCK MARZO ]]*Tabla1[[#This Row],[COSTO UNITARIO SIN ITBIS]]</f>
        <v>1090.3200000000002</v>
      </c>
    </row>
    <row r="135" spans="1:20" s="9" customFormat="1" x14ac:dyDescent="0.25">
      <c r="A135" s="96">
        <v>126</v>
      </c>
      <c r="B135" s="32">
        <v>43325</v>
      </c>
      <c r="C135" s="29" t="s">
        <v>11</v>
      </c>
      <c r="D135" s="32">
        <v>43325</v>
      </c>
      <c r="E135" s="148"/>
      <c r="F135" s="29">
        <v>1355</v>
      </c>
      <c r="G135" s="39" t="s">
        <v>108</v>
      </c>
      <c r="H135" s="34">
        <v>175</v>
      </c>
      <c r="I135" s="34"/>
      <c r="J135" s="34">
        <f>+'INVENTARIO ENERO-MARZO 2021'!$H135-'INVENTARIO ENERO-MARZO 2021'!$I135</f>
        <v>175</v>
      </c>
      <c r="K135" s="34"/>
      <c r="L135" s="34"/>
      <c r="M135" s="34">
        <f>2+2+3+2</f>
        <v>9</v>
      </c>
      <c r="N135" s="34">
        <f>1+1+12+3</f>
        <v>17</v>
      </c>
      <c r="O135" s="34">
        <f>+Tabla1[[#This Row],[STOCK    FISICO ENERO 2021]]-Tabla1[[#This Row],[REQUISICIONES FEBRERO 2021]]</f>
        <v>166</v>
      </c>
      <c r="P135" s="34">
        <f>+Tabla1[[#This Row],[STOCK  FEBRERO 2021]]-Tabla1[[#This Row],[REQUISICIONES MARZO 2021]]+Tabla1[[#This Row],[ENTRADAS MARZO 2021]]</f>
        <v>149</v>
      </c>
      <c r="Q135" s="31" t="s">
        <v>12</v>
      </c>
      <c r="R135" s="35">
        <v>12.39</v>
      </c>
      <c r="S135" s="36">
        <f t="shared" si="2"/>
        <v>14.620200000000001</v>
      </c>
      <c r="T135" s="100">
        <f>Tabla1[[#This Row],[STOCK MARZO ]]*Tabla1[[#This Row],[COSTO UNITARIO SIN ITBIS]]</f>
        <v>1846.1100000000001</v>
      </c>
    </row>
    <row r="136" spans="1:20" s="9" customFormat="1" x14ac:dyDescent="0.25">
      <c r="A136" s="96">
        <v>127</v>
      </c>
      <c r="B136" s="43">
        <v>43108</v>
      </c>
      <c r="C136" s="42" t="s">
        <v>11</v>
      </c>
      <c r="D136" s="43">
        <v>43108</v>
      </c>
      <c r="E136" s="150"/>
      <c r="F136" s="44">
        <v>1166</v>
      </c>
      <c r="G136" s="41" t="s">
        <v>109</v>
      </c>
      <c r="H136" s="41">
        <v>20</v>
      </c>
      <c r="I136" s="41"/>
      <c r="J136" s="41">
        <f>+'INVENTARIO ENERO-MARZO 2021'!$H136-'INVENTARIO ENERO-MARZO 2021'!$I136</f>
        <v>20</v>
      </c>
      <c r="K136" s="41"/>
      <c r="L136" s="41"/>
      <c r="M136" s="41"/>
      <c r="N136" s="41"/>
      <c r="O136" s="41">
        <f>+Tabla1[[#This Row],[STOCK    FISICO ENERO 2021]]-Tabla1[[#This Row],[REQUISICIONES FEBRERO 2021]]</f>
        <v>20</v>
      </c>
      <c r="P136" s="41">
        <f>+Tabla1[[#This Row],[STOCK  FEBRERO 2021]]-Tabla1[[#This Row],[REQUISICIONES MARZO 2021]]+Tabla1[[#This Row],[ENTRADAS MARZO 2021]]</f>
        <v>20</v>
      </c>
      <c r="Q136" s="41" t="s">
        <v>110</v>
      </c>
      <c r="R136" s="46">
        <v>295</v>
      </c>
      <c r="S136" s="36">
        <f t="shared" si="2"/>
        <v>348.1</v>
      </c>
      <c r="T136" s="100">
        <f>Tabla1[[#This Row],[STOCK MARZO ]]*Tabla1[[#This Row],[COSTO UNITARIO SIN ITBIS]]</f>
        <v>5900</v>
      </c>
    </row>
    <row r="137" spans="1:20" s="9" customFormat="1" x14ac:dyDescent="0.25">
      <c r="A137" s="96">
        <v>128</v>
      </c>
      <c r="B137" s="54">
        <v>44281</v>
      </c>
      <c r="C137" s="42" t="s">
        <v>11</v>
      </c>
      <c r="D137" s="54">
        <v>44280</v>
      </c>
      <c r="E137" s="151" t="s">
        <v>789</v>
      </c>
      <c r="F137" s="44"/>
      <c r="G137" s="41" t="s">
        <v>835</v>
      </c>
      <c r="H137" s="41">
        <v>150</v>
      </c>
      <c r="I137" s="41">
        <f>3+1+3+2+2+3+2+1+2+2+4+2+3+2+2+3+3+3</f>
        <v>43</v>
      </c>
      <c r="J137" s="41">
        <f>+'INVENTARIO ENERO-MARZO 2021'!$H137-'INVENTARIO ENERO-MARZO 2021'!$I137+3</f>
        <v>110</v>
      </c>
      <c r="K137" s="41"/>
      <c r="L137" s="41">
        <f>1100+100</f>
        <v>1200</v>
      </c>
      <c r="M137" s="41">
        <f>3+5+3+2+5+5+2+3+5+4+1+1+1+3+2+2+3+3+1+2+1+1+2+2+2+5+3+2+2+2+1+2+3+3+2+3+1+1+1+2+1+1+1+2+2+1+1+1+1+2</f>
        <v>110</v>
      </c>
      <c r="N137" s="41">
        <f>1+1+2+1+1+1+1+1+1+1+1+2+2+2+2+1+1+5+1+1+1+1+1+2+2+2+2+1+2+1+1+2+1+4+2+3+2+1+1+1+1+3+2+2+3+3+4+4+3+5+2+1+6+30+3+3+5+4+4+2+2+3+4+4+3+2+3+1+10</f>
        <v>184</v>
      </c>
      <c r="O137" s="41">
        <f>+Tabla1[[#This Row],[STOCK    FISICO ENERO 2021]]-Tabla1[[#This Row],[REQUISICIONES FEBRERO 2021]]</f>
        <v>0</v>
      </c>
      <c r="P137" s="41">
        <f>+Tabla1[[#This Row],[STOCK  FEBRERO 2021]]-Tabla1[[#This Row],[REQUISICIONES MARZO 2021]]+Tabla1[[#This Row],[ENTRADAS MARZO 2021]]</f>
        <v>1016</v>
      </c>
      <c r="Q137" s="41" t="s">
        <v>110</v>
      </c>
      <c r="R137" s="46">
        <v>172</v>
      </c>
      <c r="S137" s="100">
        <f t="shared" si="2"/>
        <v>202.96</v>
      </c>
      <c r="T137" s="100">
        <f>Tabla1[[#This Row],[STOCK MARZO ]]*Tabla1[[#This Row],[COSTO UNITARIO SIN ITBIS]]</f>
        <v>174752</v>
      </c>
    </row>
    <row r="138" spans="1:20" s="9" customFormat="1" x14ac:dyDescent="0.25">
      <c r="A138" s="96">
        <v>129</v>
      </c>
      <c r="B138" s="43">
        <v>44281</v>
      </c>
      <c r="C138" s="42" t="s">
        <v>11</v>
      </c>
      <c r="D138" s="43">
        <v>44281</v>
      </c>
      <c r="E138" s="151" t="s">
        <v>789</v>
      </c>
      <c r="F138" s="44"/>
      <c r="G138" s="41" t="s">
        <v>836</v>
      </c>
      <c r="H138" s="41">
        <v>82</v>
      </c>
      <c r="I138" s="41">
        <v>4</v>
      </c>
      <c r="J138" s="41">
        <f>+'INVENTARIO ENERO-MARZO 2021'!$H138-'INVENTARIO ENERO-MARZO 2021'!$I138</f>
        <v>78</v>
      </c>
      <c r="K138" s="41"/>
      <c r="L138" s="41">
        <v>200</v>
      </c>
      <c r="M138" s="41">
        <f>1+1+4+1</f>
        <v>7</v>
      </c>
      <c r="N138" s="41">
        <f>1+3+15+1</f>
        <v>20</v>
      </c>
      <c r="O138" s="41">
        <f>+Tabla1[[#This Row],[STOCK    FISICO ENERO 2021]]-Tabla1[[#This Row],[REQUISICIONES FEBRERO 2021]]</f>
        <v>71</v>
      </c>
      <c r="P138" s="41">
        <f>+Tabla1[[#This Row],[STOCK  FEBRERO 2021]]-Tabla1[[#This Row],[REQUISICIONES MARZO 2021]]+Tabla1[[#This Row],[ENTRADAS MARZO 2021]]</f>
        <v>251</v>
      </c>
      <c r="Q138" s="41" t="s">
        <v>110</v>
      </c>
      <c r="R138" s="46">
        <v>241.9</v>
      </c>
      <c r="S138" s="100">
        <f t="shared" si="2"/>
        <v>285.44200000000001</v>
      </c>
      <c r="T138" s="100">
        <f>Tabla1[[#This Row],[STOCK MARZO ]]*Tabla1[[#This Row],[COSTO UNITARIO SIN ITBIS]]</f>
        <v>60716.9</v>
      </c>
    </row>
    <row r="139" spans="1:20" s="9" customFormat="1" x14ac:dyDescent="0.25">
      <c r="A139" s="96">
        <v>130</v>
      </c>
      <c r="B139" s="43">
        <v>43671</v>
      </c>
      <c r="C139" s="42" t="s">
        <v>11</v>
      </c>
      <c r="D139" s="43">
        <v>43671</v>
      </c>
      <c r="E139" s="150"/>
      <c r="F139" s="44">
        <v>1146</v>
      </c>
      <c r="G139" s="41" t="s">
        <v>111</v>
      </c>
      <c r="H139" s="41">
        <v>24</v>
      </c>
      <c r="I139" s="41"/>
      <c r="J139" s="41">
        <f>+'INVENTARIO ENERO-MARZO 2021'!$H139-'INVENTARIO ENERO-MARZO 2021'!$I139</f>
        <v>24</v>
      </c>
      <c r="K139" s="41"/>
      <c r="L139" s="41"/>
      <c r="M139" s="41">
        <v>1</v>
      </c>
      <c r="N139" s="41"/>
      <c r="O139" s="41">
        <f>+Tabla1[[#This Row],[STOCK    FISICO ENERO 2021]]-Tabla1[[#This Row],[REQUISICIONES FEBRERO 2021]]</f>
        <v>23</v>
      </c>
      <c r="P139" s="41">
        <f>+Tabla1[[#This Row],[STOCK  FEBRERO 2021]]-Tabla1[[#This Row],[REQUISICIONES MARZO 2021]]+Tabla1[[#This Row],[ENTRADAS MARZO 2021]]</f>
        <v>23</v>
      </c>
      <c r="Q139" s="41" t="s">
        <v>112</v>
      </c>
      <c r="R139" s="46">
        <v>454.3</v>
      </c>
      <c r="S139" s="36">
        <f t="shared" si="2"/>
        <v>536.07400000000007</v>
      </c>
      <c r="T139" s="100">
        <f>Tabla1[[#This Row],[STOCK MARZO ]]*Tabla1[[#This Row],[COSTO UNITARIO SIN ITBIS]]</f>
        <v>10448.9</v>
      </c>
    </row>
    <row r="140" spans="1:20" s="9" customFormat="1" x14ac:dyDescent="0.25">
      <c r="A140" s="96">
        <v>131</v>
      </c>
      <c r="B140" s="43">
        <v>43103</v>
      </c>
      <c r="C140" s="42" t="s">
        <v>11</v>
      </c>
      <c r="D140" s="43">
        <v>43103</v>
      </c>
      <c r="E140" s="150"/>
      <c r="F140" s="44">
        <v>1170</v>
      </c>
      <c r="G140" s="41" t="s">
        <v>113</v>
      </c>
      <c r="H140" s="41">
        <v>19</v>
      </c>
      <c r="I140" s="41">
        <v>12</v>
      </c>
      <c r="J140" s="41">
        <f>+'INVENTARIO ENERO-MARZO 2021'!$H140-'INVENTARIO ENERO-MARZO 2021'!$I140</f>
        <v>7</v>
      </c>
      <c r="K140" s="41"/>
      <c r="L140" s="41"/>
      <c r="M140" s="41"/>
      <c r="N140" s="41"/>
      <c r="O140" s="41">
        <f>+Tabla1[[#This Row],[STOCK    FISICO ENERO 2021]]-Tabla1[[#This Row],[REQUISICIONES FEBRERO 2021]]</f>
        <v>7</v>
      </c>
      <c r="P140" s="41">
        <f>+Tabla1[[#This Row],[STOCK  FEBRERO 2021]]-Tabla1[[#This Row],[REQUISICIONES MARZO 2021]]+Tabla1[[#This Row],[ENTRADAS MARZO 2021]]</f>
        <v>7</v>
      </c>
      <c r="Q140" s="41" t="s">
        <v>12</v>
      </c>
      <c r="R140" s="46">
        <v>650</v>
      </c>
      <c r="S140" s="36">
        <f t="shared" si="2"/>
        <v>767</v>
      </c>
      <c r="T140" s="100">
        <f>Tabla1[[#This Row],[STOCK MARZO ]]*Tabla1[[#This Row],[COSTO UNITARIO SIN ITBIS]]</f>
        <v>4550</v>
      </c>
    </row>
    <row r="141" spans="1:20" s="9" customFormat="1" x14ac:dyDescent="0.25">
      <c r="A141" s="96">
        <v>132</v>
      </c>
      <c r="B141" s="127">
        <v>44286</v>
      </c>
      <c r="C141" s="42" t="s">
        <v>11</v>
      </c>
      <c r="D141" s="127">
        <v>44286</v>
      </c>
      <c r="E141" s="149" t="s">
        <v>827</v>
      </c>
      <c r="F141" s="129"/>
      <c r="G141" s="41" t="s">
        <v>831</v>
      </c>
      <c r="H141" s="131"/>
      <c r="I141" s="131"/>
      <c r="J141" s="131">
        <f>+'INVENTARIO ENERO-MARZO 2021'!$H141-'INVENTARIO ENERO-MARZO 2021'!$I141</f>
        <v>0</v>
      </c>
      <c r="K141" s="131"/>
      <c r="L141" s="131">
        <v>20</v>
      </c>
      <c r="M141" s="131"/>
      <c r="N141" s="131"/>
      <c r="O141" s="132">
        <f>+Tabla1[[#This Row],[STOCK    FISICO ENERO 2021]]-Tabla1[[#This Row],[REQUISICIONES FEBRERO 2021]]</f>
        <v>0</v>
      </c>
      <c r="P141" s="132">
        <f>+Tabla1[[#This Row],[STOCK  FEBRERO 2021]]-Tabla1[[#This Row],[REQUISICIONES MARZO 2021]]+Tabla1[[#This Row],[ENTRADAS MARZO 2021]]</f>
        <v>20</v>
      </c>
      <c r="Q141" s="41" t="s">
        <v>12</v>
      </c>
      <c r="R141" s="133">
        <v>380</v>
      </c>
      <c r="S141" s="100">
        <f t="shared" si="2"/>
        <v>448.4</v>
      </c>
      <c r="T141" s="100">
        <f>Tabla1[[#This Row],[STOCK MARZO ]]*Tabla1[[#This Row],[COSTO UNITARIO SIN ITBIS]]</f>
        <v>7600</v>
      </c>
    </row>
    <row r="142" spans="1:20" s="10" customFormat="1" x14ac:dyDescent="0.25">
      <c r="A142" s="96">
        <v>133</v>
      </c>
      <c r="B142" s="32">
        <v>43440</v>
      </c>
      <c r="C142" s="29" t="s">
        <v>11</v>
      </c>
      <c r="D142" s="32">
        <v>43440</v>
      </c>
      <c r="E142" s="148"/>
      <c r="F142" s="29">
        <v>1385</v>
      </c>
      <c r="G142" s="33" t="s">
        <v>114</v>
      </c>
      <c r="H142" s="34">
        <v>45</v>
      </c>
      <c r="I142" s="34"/>
      <c r="J142" s="34">
        <f>+'INVENTARIO ENERO-MARZO 2021'!$H142-'INVENTARIO ENERO-MARZO 2021'!$I142</f>
        <v>45</v>
      </c>
      <c r="K142" s="34"/>
      <c r="L142" s="34"/>
      <c r="M142" s="34">
        <f>3+2+2</f>
        <v>7</v>
      </c>
      <c r="N142" s="34"/>
      <c r="O142" s="34">
        <f>+Tabla1[[#This Row],[STOCK    FISICO ENERO 2021]]-Tabla1[[#This Row],[REQUISICIONES FEBRERO 2021]]</f>
        <v>38</v>
      </c>
      <c r="P142" s="34">
        <f>+Tabla1[[#This Row],[STOCK  FEBRERO 2021]]-Tabla1[[#This Row],[REQUISICIONES MARZO 2021]]+Tabla1[[#This Row],[ENTRADAS MARZO 2021]]</f>
        <v>38</v>
      </c>
      <c r="Q142" s="31" t="s">
        <v>12</v>
      </c>
      <c r="R142" s="35">
        <v>11.8</v>
      </c>
      <c r="S142" s="36">
        <f t="shared" si="2"/>
        <v>13.924000000000001</v>
      </c>
      <c r="T142" s="100">
        <f>Tabla1[[#This Row],[STOCK MARZO ]]*Tabla1[[#This Row],[COSTO UNITARIO SIN ITBIS]]</f>
        <v>448.40000000000003</v>
      </c>
    </row>
    <row r="143" spans="1:20" s="10" customFormat="1" x14ac:dyDescent="0.25">
      <c r="A143" s="96">
        <v>134</v>
      </c>
      <c r="B143" s="127">
        <v>44285</v>
      </c>
      <c r="C143" s="29" t="s">
        <v>11</v>
      </c>
      <c r="D143" s="127">
        <v>44285</v>
      </c>
      <c r="E143" s="149" t="s">
        <v>797</v>
      </c>
      <c r="F143" s="129"/>
      <c r="G143" s="33" t="s">
        <v>808</v>
      </c>
      <c r="H143" s="131"/>
      <c r="I143" s="131"/>
      <c r="J143" s="131">
        <f>+'INVENTARIO ENERO-MARZO 2021'!$H143-'INVENTARIO ENERO-MARZO 2021'!$I143</f>
        <v>0</v>
      </c>
      <c r="K143" s="131"/>
      <c r="L143" s="131">
        <v>30</v>
      </c>
      <c r="M143" s="131"/>
      <c r="N143" s="131"/>
      <c r="O143" s="132">
        <f>+Tabla1[[#This Row],[STOCK    FISICO ENERO 2021]]-Tabla1[[#This Row],[REQUISICIONES FEBRERO 2021]]</f>
        <v>0</v>
      </c>
      <c r="P143" s="132">
        <f>+Tabla1[[#This Row],[STOCK  FEBRERO 2021]]-Tabla1[[#This Row],[REQUISICIONES MARZO 2021]]+Tabla1[[#This Row],[ENTRADAS MARZO 2021]]</f>
        <v>30</v>
      </c>
      <c r="Q143" s="31" t="s">
        <v>12</v>
      </c>
      <c r="R143" s="133">
        <v>11.5</v>
      </c>
      <c r="S143" s="100">
        <f t="shared" si="2"/>
        <v>13.57</v>
      </c>
      <c r="T143" s="100">
        <f>Tabla1[[#This Row],[STOCK MARZO ]]*Tabla1[[#This Row],[COSTO UNITARIO SIN ITBIS]]</f>
        <v>345</v>
      </c>
    </row>
    <row r="144" spans="1:20" s="12" customFormat="1" x14ac:dyDescent="0.25">
      <c r="A144" s="96">
        <v>135</v>
      </c>
      <c r="B144" s="32">
        <v>43654</v>
      </c>
      <c r="C144" s="29" t="s">
        <v>11</v>
      </c>
      <c r="D144" s="32">
        <v>44075</v>
      </c>
      <c r="E144" s="148"/>
      <c r="F144" s="29">
        <v>1379</v>
      </c>
      <c r="G144" s="33" t="s">
        <v>115</v>
      </c>
      <c r="H144" s="47">
        <v>85</v>
      </c>
      <c r="I144" s="47">
        <f>3+3+2</f>
        <v>8</v>
      </c>
      <c r="J144" s="47">
        <f>+'INVENTARIO ENERO-MARZO 2021'!$H144-'INVENTARIO ENERO-MARZO 2021'!$I144</f>
        <v>77</v>
      </c>
      <c r="K144" s="47"/>
      <c r="L144" s="47"/>
      <c r="M144" s="47">
        <f>1+1+2+3+3+2</f>
        <v>12</v>
      </c>
      <c r="N144" s="47">
        <f>2+3+1</f>
        <v>6</v>
      </c>
      <c r="O144" s="47">
        <f>+Tabla1[[#This Row],[STOCK    FISICO ENERO 2021]]-Tabla1[[#This Row],[REQUISICIONES FEBRERO 2021]]</f>
        <v>65</v>
      </c>
      <c r="P144" s="47">
        <f>+Tabla1[[#This Row],[STOCK  FEBRERO 2021]]-Tabla1[[#This Row],[REQUISICIONES MARZO 2021]]+Tabla1[[#This Row],[ENTRADAS MARZO 2021]]</f>
        <v>59</v>
      </c>
      <c r="Q144" s="31" t="s">
        <v>12</v>
      </c>
      <c r="R144" s="35">
        <v>21.24</v>
      </c>
      <c r="S144" s="36">
        <f t="shared" ref="S144:S153" si="3">R144*0.18+R144</f>
        <v>25.063199999999998</v>
      </c>
      <c r="T144" s="100">
        <f>Tabla1[[#This Row],[STOCK MARZO ]]*Tabla1[[#This Row],[COSTO UNITARIO SIN ITBIS]]</f>
        <v>1253.1599999999999</v>
      </c>
    </row>
    <row r="145" spans="1:20" s="12" customFormat="1" x14ac:dyDescent="0.25">
      <c r="A145" s="96">
        <v>136</v>
      </c>
      <c r="B145" s="127">
        <v>44285</v>
      </c>
      <c r="C145" s="29" t="s">
        <v>11</v>
      </c>
      <c r="D145" s="127">
        <v>44285</v>
      </c>
      <c r="E145" s="149" t="s">
        <v>814</v>
      </c>
      <c r="F145" s="129"/>
      <c r="G145" s="33" t="s">
        <v>115</v>
      </c>
      <c r="H145" s="137"/>
      <c r="I145" s="137"/>
      <c r="J145" s="137">
        <f>+'INVENTARIO ENERO-MARZO 2021'!$H145-'INVENTARIO ENERO-MARZO 2021'!$I145</f>
        <v>0</v>
      </c>
      <c r="K145" s="137"/>
      <c r="L145" s="137">
        <v>15</v>
      </c>
      <c r="M145" s="137"/>
      <c r="N145" s="137"/>
      <c r="O145" s="132">
        <f>+Tabla1[[#This Row],[STOCK    FISICO ENERO 2021]]-Tabla1[[#This Row],[REQUISICIONES FEBRERO 2021]]</f>
        <v>0</v>
      </c>
      <c r="P145" s="132">
        <f>+Tabla1[[#This Row],[STOCK  FEBRERO 2021]]-Tabla1[[#This Row],[REQUISICIONES MARZO 2021]]+Tabla1[[#This Row],[ENTRADAS MARZO 2021]]</f>
        <v>15</v>
      </c>
      <c r="Q145" s="31" t="s">
        <v>12</v>
      </c>
      <c r="R145" s="133">
        <v>4.55</v>
      </c>
      <c r="S145" s="100">
        <f t="shared" si="3"/>
        <v>5.3689999999999998</v>
      </c>
      <c r="T145" s="100">
        <f>Tabla1[[#This Row],[STOCK MARZO ]]*Tabla1[[#This Row],[COSTO UNITARIO SIN ITBIS]]</f>
        <v>68.25</v>
      </c>
    </row>
    <row r="146" spans="1:20" s="9" customFormat="1" x14ac:dyDescent="0.25">
      <c r="A146" s="96">
        <v>137</v>
      </c>
      <c r="B146" s="32">
        <v>44037</v>
      </c>
      <c r="C146" s="29" t="s">
        <v>11</v>
      </c>
      <c r="D146" s="32">
        <v>44055</v>
      </c>
      <c r="E146" s="148"/>
      <c r="F146" s="29">
        <v>1370</v>
      </c>
      <c r="G146" s="33" t="s">
        <v>116</v>
      </c>
      <c r="H146" s="47">
        <v>45</v>
      </c>
      <c r="I146" s="47">
        <v>4</v>
      </c>
      <c r="J146" s="47">
        <f>+'INVENTARIO ENERO-MARZO 2021'!$H146-'INVENTARIO ENERO-MARZO 2021'!$I146</f>
        <v>41</v>
      </c>
      <c r="K146" s="47"/>
      <c r="L146" s="47"/>
      <c r="M146" s="47">
        <f>2+3+3</f>
        <v>8</v>
      </c>
      <c r="N146" s="47">
        <f>3+2+24+4</f>
        <v>33</v>
      </c>
      <c r="O146" s="47">
        <f>+Tabla1[[#This Row],[STOCK    FISICO ENERO 2021]]-Tabla1[[#This Row],[REQUISICIONES FEBRERO 2021]]</f>
        <v>33</v>
      </c>
      <c r="P146" s="47">
        <f>+Tabla1[[#This Row],[STOCK  FEBRERO 2021]]-Tabla1[[#This Row],[REQUISICIONES MARZO 2021]]+Tabla1[[#This Row],[ENTRADAS MARZO 2021]]</f>
        <v>0</v>
      </c>
      <c r="Q146" s="31" t="s">
        <v>12</v>
      </c>
      <c r="R146" s="35">
        <v>3.72</v>
      </c>
      <c r="S146" s="36">
        <f t="shared" si="3"/>
        <v>4.3895999999999997</v>
      </c>
      <c r="T146" s="100">
        <f>Tabla1[[#This Row],[STOCK MARZO ]]*Tabla1[[#This Row],[COSTO UNITARIO SIN ITBIS]]</f>
        <v>0</v>
      </c>
    </row>
    <row r="147" spans="1:20" s="9" customFormat="1" x14ac:dyDescent="0.25">
      <c r="A147" s="96">
        <v>138</v>
      </c>
      <c r="B147" s="127">
        <v>44285</v>
      </c>
      <c r="C147" s="29" t="s">
        <v>11</v>
      </c>
      <c r="D147" s="127">
        <v>44285</v>
      </c>
      <c r="E147" s="149" t="s">
        <v>797</v>
      </c>
      <c r="F147" s="129"/>
      <c r="G147" s="33" t="s">
        <v>809</v>
      </c>
      <c r="H147" s="137"/>
      <c r="I147" s="137"/>
      <c r="J147" s="137">
        <f>+'INVENTARIO ENERO-MARZO 2021'!$H147-'INVENTARIO ENERO-MARZO 2021'!$I147</f>
        <v>0</v>
      </c>
      <c r="K147" s="137"/>
      <c r="L147" s="137">
        <v>120</v>
      </c>
      <c r="M147" s="137"/>
      <c r="N147" s="137">
        <v>2</v>
      </c>
      <c r="O147" s="132">
        <f>+Tabla1[[#This Row],[STOCK    FISICO ENERO 2021]]-Tabla1[[#This Row],[REQUISICIONES FEBRERO 2021]]</f>
        <v>0</v>
      </c>
      <c r="P147" s="132">
        <f>+Tabla1[[#This Row],[STOCK  FEBRERO 2021]]-Tabla1[[#This Row],[REQUISICIONES MARZO 2021]]+Tabla1[[#This Row],[ENTRADAS MARZO 2021]]</f>
        <v>118</v>
      </c>
      <c r="Q147" s="31" t="s">
        <v>12</v>
      </c>
      <c r="R147" s="133">
        <v>3.4</v>
      </c>
      <c r="S147" s="100">
        <f t="shared" si="3"/>
        <v>4.0119999999999996</v>
      </c>
      <c r="T147" s="100">
        <f>Tabla1[[#This Row],[STOCK MARZO ]]*Tabla1[[#This Row],[COSTO UNITARIO SIN ITBIS]]</f>
        <v>401.2</v>
      </c>
    </row>
    <row r="148" spans="1:20" s="9" customFormat="1" x14ac:dyDescent="0.25">
      <c r="A148" s="96">
        <v>139</v>
      </c>
      <c r="B148" s="32">
        <v>43440</v>
      </c>
      <c r="C148" s="29" t="s">
        <v>11</v>
      </c>
      <c r="D148" s="32">
        <v>44075</v>
      </c>
      <c r="E148" s="148"/>
      <c r="F148" s="29">
        <v>1417</v>
      </c>
      <c r="G148" s="33" t="s">
        <v>117</v>
      </c>
      <c r="H148" s="34">
        <v>2</v>
      </c>
      <c r="I148" s="34">
        <v>1</v>
      </c>
      <c r="J148" s="34">
        <f>+'INVENTARIO ENERO-MARZO 2021'!$H148-'INVENTARIO ENERO-MARZO 2021'!$I148</f>
        <v>1</v>
      </c>
      <c r="K148" s="34"/>
      <c r="L148" s="34"/>
      <c r="M148" s="34"/>
      <c r="N148" s="34">
        <v>1</v>
      </c>
      <c r="O148" s="34">
        <f>+Tabla1[[#This Row],[STOCK    FISICO ENERO 2021]]-Tabla1[[#This Row],[REQUISICIONES FEBRERO 2021]]</f>
        <v>1</v>
      </c>
      <c r="P148" s="34">
        <f>+Tabla1[[#This Row],[STOCK  FEBRERO 2021]]-Tabla1[[#This Row],[REQUISICIONES MARZO 2021]]+Tabla1[[#This Row],[ENTRADAS MARZO 2021]]</f>
        <v>0</v>
      </c>
      <c r="Q148" s="31" t="s">
        <v>12</v>
      </c>
      <c r="R148" s="35">
        <v>748.12</v>
      </c>
      <c r="S148" s="36">
        <f t="shared" si="3"/>
        <v>882.78160000000003</v>
      </c>
      <c r="T148" s="100">
        <f>Tabla1[[#This Row],[STOCK MARZO ]]*Tabla1[[#This Row],[COSTO UNITARIO SIN ITBIS]]</f>
        <v>0</v>
      </c>
    </row>
    <row r="149" spans="1:20" s="9" customFormat="1" x14ac:dyDescent="0.25">
      <c r="A149" s="96">
        <v>140</v>
      </c>
      <c r="B149" s="43">
        <v>43671</v>
      </c>
      <c r="C149" s="42" t="s">
        <v>11</v>
      </c>
      <c r="D149" s="43">
        <v>43671</v>
      </c>
      <c r="E149" s="150"/>
      <c r="F149" s="44">
        <v>1175</v>
      </c>
      <c r="G149" s="41" t="s">
        <v>118</v>
      </c>
      <c r="H149" s="41">
        <f>49+20</f>
        <v>69</v>
      </c>
      <c r="I149" s="41"/>
      <c r="J149" s="41">
        <f>+'INVENTARIO ENERO-MARZO 2021'!$H149-'INVENTARIO ENERO-MARZO 2021'!$I149</f>
        <v>69</v>
      </c>
      <c r="K149" s="41"/>
      <c r="L149" s="41"/>
      <c r="M149" s="41">
        <f>1+2</f>
        <v>3</v>
      </c>
      <c r="N149" s="41">
        <f>2+2+2</f>
        <v>6</v>
      </c>
      <c r="O149" s="41">
        <f>+Tabla1[[#This Row],[STOCK    FISICO ENERO 2021]]-Tabla1[[#This Row],[REQUISICIONES FEBRERO 2021]]</f>
        <v>66</v>
      </c>
      <c r="P149" s="41">
        <f>+Tabla1[[#This Row],[STOCK  FEBRERO 2021]]-Tabla1[[#This Row],[REQUISICIONES MARZO 2021]]+Tabla1[[#This Row],[ENTRADAS MARZO 2021]]</f>
        <v>60</v>
      </c>
      <c r="Q149" s="31" t="s">
        <v>12</v>
      </c>
      <c r="R149" s="46">
        <f>109.74/100</f>
        <v>1.0973999999999999</v>
      </c>
      <c r="S149" s="36">
        <f t="shared" si="3"/>
        <v>1.294932</v>
      </c>
      <c r="T149" s="100">
        <f>Tabla1[[#This Row],[STOCK MARZO ]]*Tabla1[[#This Row],[COSTO UNITARIO SIN ITBIS]]</f>
        <v>65.843999999999994</v>
      </c>
    </row>
    <row r="150" spans="1:20" s="9" customFormat="1" x14ac:dyDescent="0.25">
      <c r="A150" s="96">
        <v>141</v>
      </c>
      <c r="B150" s="32">
        <v>44109</v>
      </c>
      <c r="C150" s="42" t="s">
        <v>11</v>
      </c>
      <c r="D150" s="32">
        <v>44109</v>
      </c>
      <c r="E150" s="148"/>
      <c r="F150" s="45" t="s">
        <v>23</v>
      </c>
      <c r="G150" s="33" t="s">
        <v>119</v>
      </c>
      <c r="H150" s="47">
        <v>7851</v>
      </c>
      <c r="I150" s="47">
        <v>20</v>
      </c>
      <c r="J150" s="47">
        <f>+'INVENTARIO ENERO-MARZO 2021'!$H150-'INVENTARIO ENERO-MARZO 2021'!$I150</f>
        <v>7831</v>
      </c>
      <c r="K150" s="47"/>
      <c r="L150" s="47"/>
      <c r="M150" s="47">
        <f>2+25+20+30+10+50+10+25</f>
        <v>172</v>
      </c>
      <c r="N150" s="47">
        <f>100+30+100+20</f>
        <v>250</v>
      </c>
      <c r="O150" s="47">
        <f>+Tabla1[[#This Row],[STOCK    FISICO ENERO 2021]]-Tabla1[[#This Row],[REQUISICIONES FEBRERO 2021]]</f>
        <v>7659</v>
      </c>
      <c r="P150" s="47">
        <f>+Tabla1[[#This Row],[STOCK  FEBRERO 2021]]-Tabla1[[#This Row],[REQUISICIONES MARZO 2021]]+Tabla1[[#This Row],[ENTRADAS MARZO 2021]]</f>
        <v>7409</v>
      </c>
      <c r="Q150" s="41" t="s">
        <v>12</v>
      </c>
      <c r="R150" s="46">
        <v>2.83</v>
      </c>
      <c r="S150" s="36">
        <f t="shared" si="3"/>
        <v>3.3393999999999999</v>
      </c>
      <c r="T150" s="100">
        <f>Tabla1[[#This Row],[STOCK MARZO ]]*Tabla1[[#This Row],[COSTO UNITARIO SIN ITBIS]]</f>
        <v>20967.47</v>
      </c>
    </row>
    <row r="151" spans="1:20" s="9" customFormat="1" x14ac:dyDescent="0.25">
      <c r="A151" s="96">
        <v>142</v>
      </c>
      <c r="B151" s="32">
        <v>43724</v>
      </c>
      <c r="C151" s="29" t="s">
        <v>11</v>
      </c>
      <c r="D151" s="32">
        <v>43724</v>
      </c>
      <c r="E151" s="148"/>
      <c r="F151" s="29">
        <v>1489</v>
      </c>
      <c r="G151" s="33" t="s">
        <v>120</v>
      </c>
      <c r="H151" s="47">
        <v>1920</v>
      </c>
      <c r="I151" s="47"/>
      <c r="J151" s="47">
        <f>+'INVENTARIO ENERO-MARZO 2021'!$H151-'INVENTARIO ENERO-MARZO 2021'!$I151</f>
        <v>1920</v>
      </c>
      <c r="K151" s="47"/>
      <c r="L151" s="47"/>
      <c r="M151" s="47"/>
      <c r="N151" s="47"/>
      <c r="O151" s="47">
        <f>+Tabla1[[#This Row],[STOCK    FISICO ENERO 2021]]-Tabla1[[#This Row],[REQUISICIONES FEBRERO 2021]]</f>
        <v>1920</v>
      </c>
      <c r="P151" s="47">
        <f>+Tabla1[[#This Row],[STOCK  FEBRERO 2021]]-Tabla1[[#This Row],[REQUISICIONES MARZO 2021]]+Tabla1[[#This Row],[ENTRADAS MARZO 2021]]</f>
        <v>1920</v>
      </c>
      <c r="Q151" s="41" t="s">
        <v>12</v>
      </c>
      <c r="R151" s="35">
        <v>3.21</v>
      </c>
      <c r="S151" s="36">
        <f t="shared" si="3"/>
        <v>3.7877999999999998</v>
      </c>
      <c r="T151" s="100">
        <f>Tabla1[[#This Row],[STOCK MARZO ]]*Tabla1[[#This Row],[COSTO UNITARIO SIN ITBIS]]</f>
        <v>6163.2</v>
      </c>
    </row>
    <row r="152" spans="1:20" s="9" customFormat="1" x14ac:dyDescent="0.25">
      <c r="A152" s="96">
        <v>143</v>
      </c>
      <c r="B152" s="43"/>
      <c r="C152" s="29" t="s">
        <v>11</v>
      </c>
      <c r="D152" s="43"/>
      <c r="E152" s="150"/>
      <c r="F152" s="45" t="s">
        <v>23</v>
      </c>
      <c r="G152" s="33" t="s">
        <v>121</v>
      </c>
      <c r="H152" s="41">
        <v>0</v>
      </c>
      <c r="I152" s="41"/>
      <c r="J152" s="41">
        <f>+'INVENTARIO ENERO-MARZO 2021'!$H152-'INVENTARIO ENERO-MARZO 2021'!$I152</f>
        <v>0</v>
      </c>
      <c r="K152" s="41"/>
      <c r="L152" s="41"/>
      <c r="M152" s="41"/>
      <c r="N152" s="41"/>
      <c r="O152" s="41">
        <f>+Tabla1[[#This Row],[STOCK    FISICO ENERO 2021]]-Tabla1[[#This Row],[REQUISICIONES FEBRERO 2021]]</f>
        <v>0</v>
      </c>
      <c r="P152" s="41">
        <f>+Tabla1[[#This Row],[STOCK  FEBRERO 2021]]-Tabla1[[#This Row],[REQUISICIONES MARZO 2021]]+Tabla1[[#This Row],[ENTRADAS MARZO 2021]]</f>
        <v>0</v>
      </c>
      <c r="Q152" s="41" t="s">
        <v>12</v>
      </c>
      <c r="R152" s="46">
        <v>0</v>
      </c>
      <c r="S152" s="36">
        <f t="shared" si="3"/>
        <v>0</v>
      </c>
      <c r="T152" s="100">
        <f>Tabla1[[#This Row],[STOCK MARZO ]]*Tabla1[[#This Row],[COSTO UNITARIO SIN ITBIS]]</f>
        <v>0</v>
      </c>
    </row>
    <row r="153" spans="1:20" s="9" customFormat="1" x14ac:dyDescent="0.25">
      <c r="A153" s="96">
        <v>144</v>
      </c>
      <c r="B153" s="43">
        <v>44109</v>
      </c>
      <c r="C153" s="29" t="s">
        <v>11</v>
      </c>
      <c r="D153" s="43">
        <v>44109</v>
      </c>
      <c r="E153" s="150"/>
      <c r="F153" s="45" t="s">
        <v>23</v>
      </c>
      <c r="G153" s="33" t="s">
        <v>678</v>
      </c>
      <c r="H153" s="41">
        <v>340</v>
      </c>
      <c r="I153" s="41">
        <v>25</v>
      </c>
      <c r="J153" s="41">
        <f>+'INVENTARIO ENERO-MARZO 2021'!$H153-'INVENTARIO ENERO-MARZO 2021'!$I153</f>
        <v>315</v>
      </c>
      <c r="K153" s="41"/>
      <c r="L153" s="41"/>
      <c r="M153" s="41"/>
      <c r="N153" s="41">
        <v>10</v>
      </c>
      <c r="O153" s="41">
        <f>+Tabla1[[#This Row],[STOCK    FISICO ENERO 2021]]-Tabla1[[#This Row],[REQUISICIONES FEBRERO 2021]]</f>
        <v>315</v>
      </c>
      <c r="P153" s="41">
        <f>+Tabla1[[#This Row],[STOCK  FEBRERO 2021]]-Tabla1[[#This Row],[REQUISICIONES MARZO 2021]]+Tabla1[[#This Row],[ENTRADAS MARZO 2021]]</f>
        <v>305</v>
      </c>
      <c r="Q153" s="41" t="s">
        <v>12</v>
      </c>
      <c r="R153" s="46">
        <v>0</v>
      </c>
      <c r="S153" s="36">
        <f t="shared" si="3"/>
        <v>0</v>
      </c>
      <c r="T153" s="100">
        <f>Tabla1[[#This Row],[STOCK MARZO ]]*Tabla1[[#This Row],[COSTO UNITARIO SIN ITBIS]]</f>
        <v>0</v>
      </c>
    </row>
    <row r="154" spans="1:20" s="9" customFormat="1" x14ac:dyDescent="0.25">
      <c r="A154" s="96">
        <v>145</v>
      </c>
      <c r="B154" s="32">
        <v>43654</v>
      </c>
      <c r="C154" s="29" t="s">
        <v>11</v>
      </c>
      <c r="D154" s="32">
        <v>43654</v>
      </c>
      <c r="E154" s="148"/>
      <c r="F154" s="29">
        <v>1371</v>
      </c>
      <c r="G154" s="33" t="s">
        <v>122</v>
      </c>
      <c r="H154" s="47">
        <v>0</v>
      </c>
      <c r="I154" s="47"/>
      <c r="J154" s="47">
        <f>+'INVENTARIO ENERO-MARZO 2021'!$H154-'INVENTARIO ENERO-MARZO 2021'!$I154</f>
        <v>0</v>
      </c>
      <c r="K154" s="47"/>
      <c r="L154" s="47"/>
      <c r="M154" s="47"/>
      <c r="N154" s="47"/>
      <c r="O154" s="47">
        <f>+Tabla1[[#This Row],[STOCK    FISICO ENERO 2021]]-Tabla1[[#This Row],[REQUISICIONES FEBRERO 2021]]</f>
        <v>0</v>
      </c>
      <c r="P154" s="47">
        <f>+Tabla1[[#This Row],[STOCK  FEBRERO 2021]]-Tabla1[[#This Row],[REQUISICIONES MARZO 2021]]+Tabla1[[#This Row],[ENTRADAS MARZO 2021]]</f>
        <v>0</v>
      </c>
      <c r="Q154" s="31" t="s">
        <v>12</v>
      </c>
      <c r="R154" s="35">
        <v>1.28</v>
      </c>
      <c r="S154" s="36">
        <v>2.5299999999999998</v>
      </c>
      <c r="T154" s="100">
        <f>Tabla1[[#This Row],[STOCK MARZO ]]*Tabla1[[#This Row],[COSTO UNITARIO SIN ITBIS]]</f>
        <v>0</v>
      </c>
    </row>
    <row r="155" spans="1:20" s="9" customFormat="1" x14ac:dyDescent="0.25">
      <c r="A155" s="96">
        <v>146</v>
      </c>
      <c r="B155" s="43">
        <v>44109</v>
      </c>
      <c r="C155" s="29" t="s">
        <v>11</v>
      </c>
      <c r="D155" s="43">
        <v>44109</v>
      </c>
      <c r="E155" s="150"/>
      <c r="F155" s="45" t="s">
        <v>23</v>
      </c>
      <c r="G155" s="33" t="s">
        <v>123</v>
      </c>
      <c r="H155" s="41">
        <v>853</v>
      </c>
      <c r="I155" s="41"/>
      <c r="J155" s="41">
        <f>+'INVENTARIO ENERO-MARZO 2021'!$H155-'INVENTARIO ENERO-MARZO 2021'!$I155</f>
        <v>853</v>
      </c>
      <c r="K155" s="41"/>
      <c r="L155" s="41"/>
      <c r="M155" s="41"/>
      <c r="N155" s="41">
        <v>25</v>
      </c>
      <c r="O155" s="41">
        <f>+Tabla1[[#This Row],[STOCK    FISICO ENERO 2021]]-Tabla1[[#This Row],[REQUISICIONES FEBRERO 2021]]</f>
        <v>853</v>
      </c>
      <c r="P155" s="41">
        <f>+Tabla1[[#This Row],[STOCK  FEBRERO 2021]]-Tabla1[[#This Row],[REQUISICIONES MARZO 2021]]+Tabla1[[#This Row],[ENTRADAS MARZO 2021]]</f>
        <v>828</v>
      </c>
      <c r="Q155" s="41" t="s">
        <v>112</v>
      </c>
      <c r="R155" s="46">
        <v>1.8</v>
      </c>
      <c r="S155" s="36">
        <f t="shared" ref="S155:S182" si="4">R155*0.18+R155</f>
        <v>2.1240000000000001</v>
      </c>
      <c r="T155" s="100">
        <f>Tabla1[[#This Row],[STOCK MARZO ]]*Tabla1[[#This Row],[COSTO UNITARIO SIN ITBIS]]</f>
        <v>1490.4</v>
      </c>
    </row>
    <row r="156" spans="1:20" s="9" customFormat="1" x14ac:dyDescent="0.25">
      <c r="A156" s="96">
        <v>147</v>
      </c>
      <c r="B156" s="43">
        <v>43440</v>
      </c>
      <c r="C156" s="42" t="s">
        <v>11</v>
      </c>
      <c r="D156" s="43">
        <v>43440</v>
      </c>
      <c r="E156" s="150"/>
      <c r="F156" s="44">
        <v>1171</v>
      </c>
      <c r="G156" s="41" t="s">
        <v>124</v>
      </c>
      <c r="H156" s="50">
        <v>6342</v>
      </c>
      <c r="I156" s="50">
        <v>20</v>
      </c>
      <c r="J156" s="50">
        <f>+'INVENTARIO ENERO-MARZO 2021'!$H156-'INVENTARIO ENERO-MARZO 2021'!$I156</f>
        <v>6322</v>
      </c>
      <c r="K156" s="50"/>
      <c r="L156" s="50"/>
      <c r="M156" s="50">
        <f>25+20+30+100+100+50+10+15+50+50+50+10+150</f>
        <v>660</v>
      </c>
      <c r="N156" s="50">
        <f>50+20+15+100+100+20+10+100</f>
        <v>415</v>
      </c>
      <c r="O156" s="50">
        <f>+Tabla1[[#This Row],[STOCK    FISICO ENERO 2021]]-Tabla1[[#This Row],[REQUISICIONES FEBRERO 2021]]</f>
        <v>5662</v>
      </c>
      <c r="P156" s="50">
        <f>+Tabla1[[#This Row],[STOCK  FEBRERO 2021]]-Tabla1[[#This Row],[REQUISICIONES MARZO 2021]]+Tabla1[[#This Row],[ENTRADAS MARZO 2021]]</f>
        <v>5247</v>
      </c>
      <c r="Q156" s="41" t="s">
        <v>112</v>
      </c>
      <c r="R156" s="46">
        <v>2.48</v>
      </c>
      <c r="S156" s="36">
        <f t="shared" si="4"/>
        <v>2.9264000000000001</v>
      </c>
      <c r="T156" s="100">
        <f>Tabla1[[#This Row],[STOCK MARZO ]]*Tabla1[[#This Row],[COSTO UNITARIO SIN ITBIS]]</f>
        <v>13012.56</v>
      </c>
    </row>
    <row r="157" spans="1:20" s="9" customFormat="1" ht="15.75" customHeight="1" x14ac:dyDescent="0.25">
      <c r="A157" s="96">
        <v>148</v>
      </c>
      <c r="B157" s="32">
        <v>44109</v>
      </c>
      <c r="C157" s="42" t="s">
        <v>11</v>
      </c>
      <c r="D157" s="32">
        <v>44109</v>
      </c>
      <c r="E157" s="148"/>
      <c r="F157" s="45" t="s">
        <v>23</v>
      </c>
      <c r="G157" s="41" t="s">
        <v>125</v>
      </c>
      <c r="H157" s="47">
        <v>2240</v>
      </c>
      <c r="I157" s="47"/>
      <c r="J157" s="47">
        <f>+'INVENTARIO ENERO-MARZO 2021'!$H157-'INVENTARIO ENERO-MARZO 2021'!$I157</f>
        <v>2240</v>
      </c>
      <c r="K157" s="47"/>
      <c r="L157" s="47"/>
      <c r="M157" s="47">
        <f>100+100</f>
        <v>200</v>
      </c>
      <c r="N157" s="47">
        <v>100</v>
      </c>
      <c r="O157" s="47">
        <f>+Tabla1[[#This Row],[STOCK    FISICO ENERO 2021]]-Tabla1[[#This Row],[REQUISICIONES FEBRERO 2021]]</f>
        <v>2040</v>
      </c>
      <c r="P157" s="47">
        <f>+Tabla1[[#This Row],[STOCK  FEBRERO 2021]]-Tabla1[[#This Row],[REQUISICIONES MARZO 2021]]+Tabla1[[#This Row],[ENTRADAS MARZO 2021]]</f>
        <v>1940</v>
      </c>
      <c r="Q157" s="41" t="s">
        <v>12</v>
      </c>
      <c r="R157" s="46">
        <v>0</v>
      </c>
      <c r="S157" s="36">
        <f t="shared" si="4"/>
        <v>0</v>
      </c>
      <c r="T157" s="100">
        <f>Tabla1[[#This Row],[STOCK MARZO ]]*Tabla1[[#This Row],[COSTO UNITARIO SIN ITBIS]]</f>
        <v>0</v>
      </c>
    </row>
    <row r="158" spans="1:20" s="9" customFormat="1" ht="15.75" customHeight="1" x14ac:dyDescent="0.25">
      <c r="A158" s="96">
        <v>149</v>
      </c>
      <c r="B158" s="32">
        <v>44109</v>
      </c>
      <c r="C158" s="42" t="s">
        <v>11</v>
      </c>
      <c r="D158" s="32">
        <v>44109</v>
      </c>
      <c r="E158" s="148"/>
      <c r="F158" s="45" t="s">
        <v>23</v>
      </c>
      <c r="G158" s="41" t="s">
        <v>126</v>
      </c>
      <c r="H158" s="47">
        <v>0</v>
      </c>
      <c r="I158" s="47"/>
      <c r="J158" s="47">
        <f>+'INVENTARIO ENERO-MARZO 2021'!$H158-'INVENTARIO ENERO-MARZO 2021'!$I158</f>
        <v>0</v>
      </c>
      <c r="K158" s="47"/>
      <c r="L158" s="47"/>
      <c r="M158" s="47"/>
      <c r="N158" s="47"/>
      <c r="O158" s="47">
        <f>+Tabla1[[#This Row],[STOCK    FISICO ENERO 2021]]-Tabla1[[#This Row],[REQUISICIONES FEBRERO 2021]]</f>
        <v>0</v>
      </c>
      <c r="P158" s="47">
        <f>+Tabla1[[#This Row],[STOCK  FEBRERO 2021]]-Tabla1[[#This Row],[REQUISICIONES MARZO 2021]]+Tabla1[[#This Row],[ENTRADAS MARZO 2021]]</f>
        <v>0</v>
      </c>
      <c r="Q158" s="41" t="s">
        <v>12</v>
      </c>
      <c r="R158" s="46">
        <v>4.5599999999999996</v>
      </c>
      <c r="S158" s="36">
        <f t="shared" si="4"/>
        <v>5.3807999999999998</v>
      </c>
      <c r="T158" s="100">
        <f>Tabla1[[#This Row],[STOCK MARZO ]]*Tabla1[[#This Row],[COSTO UNITARIO SIN ITBIS]]</f>
        <v>0</v>
      </c>
    </row>
    <row r="159" spans="1:20" s="9" customFormat="1" ht="14.25" customHeight="1" x14ac:dyDescent="0.25">
      <c r="A159" s="96">
        <v>150</v>
      </c>
      <c r="B159" s="54">
        <v>43440</v>
      </c>
      <c r="C159" s="42" t="s">
        <v>11</v>
      </c>
      <c r="D159" s="54">
        <v>43440</v>
      </c>
      <c r="E159" s="151"/>
      <c r="F159" s="44">
        <v>1173</v>
      </c>
      <c r="G159" s="41" t="s">
        <v>127</v>
      </c>
      <c r="H159" s="50">
        <v>1500</v>
      </c>
      <c r="I159" s="50">
        <v>20</v>
      </c>
      <c r="J159" s="50">
        <f>+'INVENTARIO ENERO-MARZO 2021'!$H159-'INVENTARIO ENERO-MARZO 2021'!$I159</f>
        <v>1480</v>
      </c>
      <c r="K159" s="50"/>
      <c r="L159" s="50"/>
      <c r="M159" s="50">
        <f>25+50+50+500+5</f>
        <v>630</v>
      </c>
      <c r="N159" s="50">
        <f>10+100</f>
        <v>110</v>
      </c>
      <c r="O159" s="50">
        <f>+Tabla1[[#This Row],[STOCK    FISICO ENERO 2021]]-Tabla1[[#This Row],[REQUISICIONES FEBRERO 2021]]</f>
        <v>850</v>
      </c>
      <c r="P159" s="50">
        <f>+Tabla1[[#This Row],[STOCK  FEBRERO 2021]]-Tabla1[[#This Row],[REQUISICIONES MARZO 2021]]+Tabla1[[#This Row],[ENTRADAS MARZO 2021]]</f>
        <v>740</v>
      </c>
      <c r="Q159" s="41" t="s">
        <v>112</v>
      </c>
      <c r="R159" s="46">
        <v>0.9</v>
      </c>
      <c r="S159" s="36">
        <f t="shared" si="4"/>
        <v>1.0620000000000001</v>
      </c>
      <c r="T159" s="100">
        <f>Tabla1[[#This Row],[STOCK MARZO ]]*Tabla1[[#This Row],[COSTO UNITARIO SIN ITBIS]]</f>
        <v>666</v>
      </c>
    </row>
    <row r="160" spans="1:20" s="9" customFormat="1" ht="14.25" customHeight="1" x14ac:dyDescent="0.25">
      <c r="A160" s="96">
        <v>151</v>
      </c>
      <c r="B160" s="127">
        <v>44285</v>
      </c>
      <c r="C160" s="42" t="s">
        <v>11</v>
      </c>
      <c r="D160" s="127">
        <v>44285</v>
      </c>
      <c r="E160" s="149" t="s">
        <v>797</v>
      </c>
      <c r="F160" s="129"/>
      <c r="G160" s="41" t="s">
        <v>127</v>
      </c>
      <c r="H160" s="137"/>
      <c r="I160" s="137"/>
      <c r="J160" s="137">
        <f>+'INVENTARIO ENERO-MARZO 2021'!$H160-'INVENTARIO ENERO-MARZO 2021'!$I160</f>
        <v>0</v>
      </c>
      <c r="K160" s="137"/>
      <c r="L160" s="137">
        <f>3*500</f>
        <v>1500</v>
      </c>
      <c r="M160" s="137"/>
      <c r="N160" s="137"/>
      <c r="O160" s="132">
        <f>+Tabla1[[#This Row],[STOCK    FISICO ENERO 2021]]-Tabla1[[#This Row],[REQUISICIONES FEBRERO 2021]]</f>
        <v>0</v>
      </c>
      <c r="P160" s="132">
        <f>+Tabla1[[#This Row],[STOCK  FEBRERO 2021]]-Tabla1[[#This Row],[REQUISICIONES MARZO 2021]]+Tabla1[[#This Row],[ENTRADAS MARZO 2021]]</f>
        <v>1500</v>
      </c>
      <c r="Q160" s="41" t="s">
        <v>112</v>
      </c>
      <c r="R160" s="133">
        <v>0.81200000000000006</v>
      </c>
      <c r="S160" s="100">
        <f t="shared" si="4"/>
        <v>0.95816000000000012</v>
      </c>
      <c r="T160" s="100">
        <f>Tabla1[[#This Row],[STOCK MARZO ]]*Tabla1[[#This Row],[COSTO UNITARIO SIN ITBIS]]</f>
        <v>1218</v>
      </c>
    </row>
    <row r="161" spans="1:20" s="9" customFormat="1" x14ac:dyDescent="0.25">
      <c r="A161" s="96">
        <v>152</v>
      </c>
      <c r="B161" s="43">
        <v>44109</v>
      </c>
      <c r="C161" s="42" t="s">
        <v>11</v>
      </c>
      <c r="D161" s="43">
        <v>44109</v>
      </c>
      <c r="E161" s="150"/>
      <c r="F161" s="45" t="s">
        <v>23</v>
      </c>
      <c r="G161" s="41" t="s">
        <v>128</v>
      </c>
      <c r="H161" s="41">
        <v>816</v>
      </c>
      <c r="I161" s="41"/>
      <c r="J161" s="41">
        <f>+'INVENTARIO ENERO-MARZO 2021'!$H161-'INVENTARIO ENERO-MARZO 2021'!$I161</f>
        <v>816</v>
      </c>
      <c r="K161" s="41"/>
      <c r="L161" s="41"/>
      <c r="M161" s="41"/>
      <c r="N161" s="41"/>
      <c r="O161" s="41">
        <f>+Tabla1[[#This Row],[STOCK    FISICO ENERO 2021]]-Tabla1[[#This Row],[REQUISICIONES FEBRERO 2021]]</f>
        <v>816</v>
      </c>
      <c r="P161" s="41">
        <f>+Tabla1[[#This Row],[STOCK  FEBRERO 2021]]-Tabla1[[#This Row],[REQUISICIONES MARZO 2021]]+Tabla1[[#This Row],[ENTRADAS MARZO 2021]]</f>
        <v>816</v>
      </c>
      <c r="Q161" s="41" t="s">
        <v>112</v>
      </c>
      <c r="R161" s="46">
        <v>0</v>
      </c>
      <c r="S161" s="36">
        <f t="shared" si="4"/>
        <v>0</v>
      </c>
      <c r="T161" s="100">
        <f>Tabla1[[#This Row],[STOCK MARZO ]]*Tabla1[[#This Row],[COSTO UNITARIO SIN ITBIS]]</f>
        <v>0</v>
      </c>
    </row>
    <row r="162" spans="1:20" s="9" customFormat="1" x14ac:dyDescent="0.25">
      <c r="A162" s="96">
        <v>153</v>
      </c>
      <c r="B162" s="43">
        <v>43724</v>
      </c>
      <c r="C162" s="42" t="s">
        <v>11</v>
      </c>
      <c r="D162" s="43">
        <v>43724</v>
      </c>
      <c r="E162" s="150"/>
      <c r="F162" s="44">
        <v>1181</v>
      </c>
      <c r="G162" s="41" t="s">
        <v>129</v>
      </c>
      <c r="H162" s="41">
        <v>118</v>
      </c>
      <c r="I162" s="41">
        <f>12+1</f>
        <v>13</v>
      </c>
      <c r="J162" s="41">
        <f>+'INVENTARIO ENERO-MARZO 2021'!$H162-'INVENTARIO ENERO-MARZO 2021'!$I162</f>
        <v>105</v>
      </c>
      <c r="K162" s="41"/>
      <c r="L162" s="41"/>
      <c r="M162" s="41">
        <f>5+10+4+1</f>
        <v>20</v>
      </c>
      <c r="N162" s="41">
        <f>10+1+2+10+4+20</f>
        <v>47</v>
      </c>
      <c r="O162" s="41">
        <f>+Tabla1[[#This Row],[STOCK    FISICO ENERO 2021]]-Tabla1[[#This Row],[REQUISICIONES FEBRERO 2021]]</f>
        <v>85</v>
      </c>
      <c r="P162" s="41">
        <f>+Tabla1[[#This Row],[STOCK  FEBRERO 2021]]-Tabla1[[#This Row],[REQUISICIONES MARZO 2021]]+Tabla1[[#This Row],[ENTRADAS MARZO 2021]]</f>
        <v>38</v>
      </c>
      <c r="Q162" s="41" t="s">
        <v>12</v>
      </c>
      <c r="R162" s="42">
        <v>49</v>
      </c>
      <c r="S162" s="36">
        <f t="shared" si="4"/>
        <v>57.82</v>
      </c>
      <c r="T162" s="100">
        <f>Tabla1[[#This Row],[STOCK MARZO ]]*Tabla1[[#This Row],[COSTO UNITARIO SIN ITBIS]]</f>
        <v>1862</v>
      </c>
    </row>
    <row r="163" spans="1:20" s="9" customFormat="1" x14ac:dyDescent="0.25">
      <c r="A163" s="96">
        <v>154</v>
      </c>
      <c r="B163" s="32">
        <v>44028</v>
      </c>
      <c r="C163" s="29" t="s">
        <v>11</v>
      </c>
      <c r="D163" s="32">
        <v>44055</v>
      </c>
      <c r="E163" s="148"/>
      <c r="F163" s="29">
        <v>1388</v>
      </c>
      <c r="G163" s="33" t="s">
        <v>130</v>
      </c>
      <c r="H163" s="47">
        <f>79+72</f>
        <v>151</v>
      </c>
      <c r="I163" s="47"/>
      <c r="J163" s="47">
        <f>+'INVENTARIO ENERO-MARZO 2021'!$H163-'INVENTARIO ENERO-MARZO 2021'!$I163</f>
        <v>151</v>
      </c>
      <c r="K163" s="47"/>
      <c r="L163" s="47"/>
      <c r="M163" s="47">
        <v>5</v>
      </c>
      <c r="N163" s="47"/>
      <c r="O163" s="47">
        <f>+Tabla1[[#This Row],[STOCK    FISICO ENERO 2021]]-Tabla1[[#This Row],[REQUISICIONES FEBRERO 2021]]</f>
        <v>146</v>
      </c>
      <c r="P163" s="47">
        <f>+Tabla1[[#This Row],[STOCK  FEBRERO 2021]]-Tabla1[[#This Row],[REQUISICIONES MARZO 2021]]+Tabla1[[#This Row],[ENTRADAS MARZO 2021]]</f>
        <v>146</v>
      </c>
      <c r="Q163" s="31" t="s">
        <v>12</v>
      </c>
      <c r="R163" s="35">
        <v>70</v>
      </c>
      <c r="S163" s="36">
        <f t="shared" si="4"/>
        <v>82.6</v>
      </c>
      <c r="T163" s="100">
        <f>Tabla1[[#This Row],[STOCK MARZO ]]*Tabla1[[#This Row],[COSTO UNITARIO SIN ITBIS]]</f>
        <v>10220</v>
      </c>
    </row>
    <row r="164" spans="1:20" s="10" customFormat="1" ht="24.75" x14ac:dyDescent="0.25">
      <c r="A164" s="96">
        <v>155</v>
      </c>
      <c r="B164" s="32">
        <v>43440</v>
      </c>
      <c r="C164" s="29" t="s">
        <v>11</v>
      </c>
      <c r="D164" s="32">
        <v>43440</v>
      </c>
      <c r="E164" s="148"/>
      <c r="F164" s="29">
        <v>1418</v>
      </c>
      <c r="G164" s="33" t="s">
        <v>683</v>
      </c>
      <c r="H164" s="37">
        <v>1100</v>
      </c>
      <c r="I164" s="37"/>
      <c r="J164" s="37">
        <f>+'INVENTARIO ENERO-MARZO 2021'!$H164-'INVENTARIO ENERO-MARZO 2021'!$I164</f>
        <v>1100</v>
      </c>
      <c r="K164" s="37"/>
      <c r="L164" s="37"/>
      <c r="M164" s="37"/>
      <c r="N164" s="37"/>
      <c r="O164" s="37">
        <f>+Tabla1[[#This Row],[STOCK    FISICO ENERO 2021]]-Tabla1[[#This Row],[REQUISICIONES FEBRERO 2021]]</f>
        <v>1100</v>
      </c>
      <c r="P164" s="37">
        <f>+Tabla1[[#This Row],[STOCK  FEBRERO 2021]]-Tabla1[[#This Row],[REQUISICIONES MARZO 2021]]+Tabla1[[#This Row],[ENTRADAS MARZO 2021]]</f>
        <v>1100</v>
      </c>
      <c r="Q164" s="31" t="s">
        <v>12</v>
      </c>
      <c r="R164" s="35">
        <v>194.7</v>
      </c>
      <c r="S164" s="36">
        <f t="shared" si="4"/>
        <v>229.74599999999998</v>
      </c>
      <c r="T164" s="100">
        <f>Tabla1[[#This Row],[STOCK MARZO ]]*Tabla1[[#This Row],[COSTO UNITARIO SIN ITBIS]]</f>
        <v>214170</v>
      </c>
    </row>
    <row r="165" spans="1:20" s="9" customFormat="1" x14ac:dyDescent="0.25">
      <c r="A165" s="96">
        <v>156</v>
      </c>
      <c r="B165" s="32">
        <v>44168</v>
      </c>
      <c r="C165" s="29" t="s">
        <v>11</v>
      </c>
      <c r="D165" s="32">
        <v>44151</v>
      </c>
      <c r="E165" s="148"/>
      <c r="F165" s="29">
        <v>1404</v>
      </c>
      <c r="G165" s="33" t="s">
        <v>131</v>
      </c>
      <c r="H165" s="34">
        <v>163</v>
      </c>
      <c r="I165" s="34">
        <v>5</v>
      </c>
      <c r="J165" s="34">
        <f>+'INVENTARIO ENERO-MARZO 2021'!$H165-'INVENTARIO ENERO-MARZO 2021'!$I165</f>
        <v>158</v>
      </c>
      <c r="K165" s="34"/>
      <c r="L165" s="34"/>
      <c r="M165" s="34">
        <f>1+1</f>
        <v>2</v>
      </c>
      <c r="N165" s="34">
        <f>1+1</f>
        <v>2</v>
      </c>
      <c r="O165" s="34">
        <f>+Tabla1[[#This Row],[STOCK    FISICO ENERO 2021]]-Tabla1[[#This Row],[REQUISICIONES FEBRERO 2021]]</f>
        <v>156</v>
      </c>
      <c r="P165" s="34">
        <f>+Tabla1[[#This Row],[STOCK  FEBRERO 2021]]-Tabla1[[#This Row],[REQUISICIONES MARZO 2021]]+Tabla1[[#This Row],[ENTRADAS MARZO 2021]]</f>
        <v>154</v>
      </c>
      <c r="Q165" s="31" t="s">
        <v>12</v>
      </c>
      <c r="R165" s="35">
        <v>128.85</v>
      </c>
      <c r="S165" s="36">
        <f t="shared" si="4"/>
        <v>152.04300000000001</v>
      </c>
      <c r="T165" s="100">
        <f>Tabla1[[#This Row],[STOCK MARZO ]]*Tabla1[[#This Row],[COSTO UNITARIO SIN ITBIS]]</f>
        <v>19842.899999999998</v>
      </c>
    </row>
    <row r="166" spans="1:20" s="9" customFormat="1" x14ac:dyDescent="0.25">
      <c r="A166" s="96">
        <v>157</v>
      </c>
      <c r="B166" s="32">
        <v>43440</v>
      </c>
      <c r="C166" s="29" t="s">
        <v>11</v>
      </c>
      <c r="D166" s="32">
        <v>44075</v>
      </c>
      <c r="E166" s="148"/>
      <c r="F166" s="29">
        <v>1372</v>
      </c>
      <c r="G166" s="33" t="s">
        <v>132</v>
      </c>
      <c r="H166" s="47">
        <v>204</v>
      </c>
      <c r="I166" s="47">
        <f>3+1+2</f>
        <v>6</v>
      </c>
      <c r="J166" s="47">
        <f>+'INVENTARIO ENERO-MARZO 2021'!$H166-'INVENTARIO ENERO-MARZO 2021'!$I166</f>
        <v>198</v>
      </c>
      <c r="K166" s="47"/>
      <c r="L166" s="47"/>
      <c r="M166" s="47">
        <f>2+1+2+3+1+1+2</f>
        <v>12</v>
      </c>
      <c r="N166" s="47">
        <f>2+1+1+3</f>
        <v>7</v>
      </c>
      <c r="O166" s="47">
        <f>+Tabla1[[#This Row],[STOCK    FISICO ENERO 2021]]-Tabla1[[#This Row],[REQUISICIONES FEBRERO 2021]]</f>
        <v>186</v>
      </c>
      <c r="P166" s="47">
        <f>+Tabla1[[#This Row],[STOCK  FEBRERO 2021]]-Tabla1[[#This Row],[REQUISICIONES MARZO 2021]]+Tabla1[[#This Row],[ENTRADAS MARZO 2021]]</f>
        <v>179</v>
      </c>
      <c r="Q166" s="31" t="s">
        <v>12</v>
      </c>
      <c r="R166" s="35">
        <v>27.73</v>
      </c>
      <c r="S166" s="36">
        <f t="shared" si="4"/>
        <v>32.721400000000003</v>
      </c>
      <c r="T166" s="100">
        <f>Tabla1[[#This Row],[STOCK MARZO ]]*Tabla1[[#This Row],[COSTO UNITARIO SIN ITBIS]]</f>
        <v>4963.67</v>
      </c>
    </row>
    <row r="167" spans="1:20" s="9" customFormat="1" x14ac:dyDescent="0.25">
      <c r="A167" s="96">
        <v>158</v>
      </c>
      <c r="B167" s="43">
        <v>43108</v>
      </c>
      <c r="C167" s="42" t="s">
        <v>11</v>
      </c>
      <c r="D167" s="43">
        <v>43108</v>
      </c>
      <c r="E167" s="150"/>
      <c r="F167" s="44">
        <v>1198</v>
      </c>
      <c r="G167" s="41" t="s">
        <v>133</v>
      </c>
      <c r="H167" s="41">
        <v>7</v>
      </c>
      <c r="I167" s="41"/>
      <c r="J167" s="41">
        <f>+'INVENTARIO ENERO-MARZO 2021'!$H167-'INVENTARIO ENERO-MARZO 2021'!$I167</f>
        <v>7</v>
      </c>
      <c r="K167" s="41"/>
      <c r="L167" s="41"/>
      <c r="M167" s="41"/>
      <c r="N167" s="41"/>
      <c r="O167" s="41">
        <f>+Tabla1[[#This Row],[STOCK    FISICO ENERO 2021]]-Tabla1[[#This Row],[REQUISICIONES FEBRERO 2021]]</f>
        <v>7</v>
      </c>
      <c r="P167" s="41">
        <f>+Tabla1[[#This Row],[STOCK  FEBRERO 2021]]-Tabla1[[#This Row],[REQUISICIONES MARZO 2021]]+Tabla1[[#This Row],[ENTRADAS MARZO 2021]]</f>
        <v>7</v>
      </c>
      <c r="Q167" s="41" t="s">
        <v>134</v>
      </c>
      <c r="R167" s="46">
        <v>795</v>
      </c>
      <c r="S167" s="36">
        <f t="shared" si="4"/>
        <v>938.1</v>
      </c>
      <c r="T167" s="100">
        <f>Tabla1[[#This Row],[STOCK MARZO ]]*Tabla1[[#This Row],[COSTO UNITARIO SIN ITBIS]]</f>
        <v>5565</v>
      </c>
    </row>
    <row r="168" spans="1:20" s="9" customFormat="1" x14ac:dyDescent="0.25">
      <c r="A168" s="96">
        <v>159</v>
      </c>
      <c r="B168" s="127">
        <v>44285</v>
      </c>
      <c r="C168" s="42" t="s">
        <v>11</v>
      </c>
      <c r="D168" s="127">
        <v>44285</v>
      </c>
      <c r="E168" s="149" t="s">
        <v>797</v>
      </c>
      <c r="F168" s="129"/>
      <c r="G168" s="41" t="s">
        <v>133</v>
      </c>
      <c r="H168" s="131"/>
      <c r="I168" s="131"/>
      <c r="J168" s="131">
        <f>+'INVENTARIO ENERO-MARZO 2021'!$H168-'INVENTARIO ENERO-MARZO 2021'!$I168</f>
        <v>0</v>
      </c>
      <c r="K168" s="131"/>
      <c r="L168" s="131">
        <v>10</v>
      </c>
      <c r="M168" s="131"/>
      <c r="N168" s="131"/>
      <c r="O168" s="132">
        <f>+Tabla1[[#This Row],[STOCK    FISICO ENERO 2021]]-Tabla1[[#This Row],[REQUISICIONES FEBRERO 2021]]</f>
        <v>0</v>
      </c>
      <c r="P168" s="132">
        <f>+Tabla1[[#This Row],[STOCK  FEBRERO 2021]]-Tabla1[[#This Row],[REQUISICIONES MARZO 2021]]+Tabla1[[#This Row],[ENTRADAS MARZO 2021]]</f>
        <v>10</v>
      </c>
      <c r="Q168" s="41" t="s">
        <v>134</v>
      </c>
      <c r="R168" s="133">
        <v>450</v>
      </c>
      <c r="S168" s="100">
        <f t="shared" si="4"/>
        <v>531</v>
      </c>
      <c r="T168" s="100">
        <f>Tabla1[[#This Row],[STOCK MARZO ]]*Tabla1[[#This Row],[COSTO UNITARIO SIN ITBIS]]</f>
        <v>4500</v>
      </c>
    </row>
    <row r="169" spans="1:20" s="9" customFormat="1" x14ac:dyDescent="0.25">
      <c r="A169" s="96">
        <v>160</v>
      </c>
      <c r="B169" s="43">
        <v>43108</v>
      </c>
      <c r="C169" s="42" t="s">
        <v>11</v>
      </c>
      <c r="D169" s="43">
        <v>43108</v>
      </c>
      <c r="E169" s="150"/>
      <c r="F169" s="44">
        <v>1196</v>
      </c>
      <c r="G169" s="41" t="s">
        <v>135</v>
      </c>
      <c r="H169" s="41">
        <v>6</v>
      </c>
      <c r="I169" s="41"/>
      <c r="J169" s="41">
        <f>+'INVENTARIO ENERO-MARZO 2021'!$H169-'INVENTARIO ENERO-MARZO 2021'!$I169</f>
        <v>6</v>
      </c>
      <c r="K169" s="41"/>
      <c r="L169" s="41"/>
      <c r="M169" s="41"/>
      <c r="N169" s="41"/>
      <c r="O169" s="41">
        <f>+Tabla1[[#This Row],[STOCK    FISICO ENERO 2021]]-Tabla1[[#This Row],[REQUISICIONES FEBRERO 2021]]</f>
        <v>6</v>
      </c>
      <c r="P169" s="41">
        <f>+Tabla1[[#This Row],[STOCK  FEBRERO 2021]]-Tabla1[[#This Row],[REQUISICIONES MARZO 2021]]+Tabla1[[#This Row],[ENTRADAS MARZO 2021]]</f>
        <v>6</v>
      </c>
      <c r="Q169" s="41" t="s">
        <v>134</v>
      </c>
      <c r="R169" s="46">
        <v>409.99</v>
      </c>
      <c r="S169" s="36">
        <f t="shared" si="4"/>
        <v>483.78820000000002</v>
      </c>
      <c r="T169" s="100">
        <f>Tabla1[[#This Row],[STOCK MARZO ]]*Tabla1[[#This Row],[COSTO UNITARIO SIN ITBIS]]</f>
        <v>2459.94</v>
      </c>
    </row>
    <row r="170" spans="1:20" s="9" customFormat="1" x14ac:dyDescent="0.25">
      <c r="A170" s="96">
        <v>161</v>
      </c>
      <c r="B170" s="127">
        <v>44285</v>
      </c>
      <c r="C170" s="42" t="s">
        <v>11</v>
      </c>
      <c r="D170" s="127">
        <v>44285</v>
      </c>
      <c r="E170" s="149" t="s">
        <v>797</v>
      </c>
      <c r="F170" s="129"/>
      <c r="G170" s="41" t="s">
        <v>135</v>
      </c>
      <c r="H170" s="131"/>
      <c r="I170" s="131"/>
      <c r="J170" s="131">
        <f>+'INVENTARIO ENERO-MARZO 2021'!$H170-'INVENTARIO ENERO-MARZO 2021'!$I170</f>
        <v>0</v>
      </c>
      <c r="K170" s="131"/>
      <c r="L170" s="131">
        <v>10</v>
      </c>
      <c r="M170" s="131"/>
      <c r="N170" s="131"/>
      <c r="O170" s="132">
        <f>+Tabla1[[#This Row],[STOCK    FISICO ENERO 2021]]-Tabla1[[#This Row],[REQUISICIONES FEBRERO 2021]]</f>
        <v>0</v>
      </c>
      <c r="P170" s="132">
        <f>+Tabla1[[#This Row],[STOCK  FEBRERO 2021]]-Tabla1[[#This Row],[REQUISICIONES MARZO 2021]]+Tabla1[[#This Row],[ENTRADAS MARZO 2021]]</f>
        <v>10</v>
      </c>
      <c r="Q170" s="41" t="s">
        <v>134</v>
      </c>
      <c r="R170" s="46">
        <v>409.99</v>
      </c>
      <c r="S170" s="100">
        <f t="shared" si="4"/>
        <v>483.78820000000002</v>
      </c>
      <c r="T170" s="100">
        <f>Tabla1[[#This Row],[STOCK MARZO ]]*Tabla1[[#This Row],[COSTO UNITARIO SIN ITBIS]]</f>
        <v>4099.8999999999996</v>
      </c>
    </row>
    <row r="171" spans="1:20" s="9" customFormat="1" x14ac:dyDescent="0.25">
      <c r="A171" s="96">
        <v>162</v>
      </c>
      <c r="B171" s="43">
        <v>43108</v>
      </c>
      <c r="C171" s="42" t="s">
        <v>11</v>
      </c>
      <c r="D171" s="43">
        <v>43108</v>
      </c>
      <c r="E171" s="150"/>
      <c r="F171" s="44">
        <v>1195</v>
      </c>
      <c r="G171" s="41" t="s">
        <v>136</v>
      </c>
      <c r="H171" s="41">
        <v>3</v>
      </c>
      <c r="I171" s="41"/>
      <c r="J171" s="41">
        <f>+'INVENTARIO ENERO-MARZO 2021'!$H171-'INVENTARIO ENERO-MARZO 2021'!$I171</f>
        <v>3</v>
      </c>
      <c r="K171" s="41"/>
      <c r="L171" s="41"/>
      <c r="M171" s="41"/>
      <c r="N171" s="41"/>
      <c r="O171" s="41">
        <f>+Tabla1[[#This Row],[STOCK    FISICO ENERO 2021]]-Tabla1[[#This Row],[REQUISICIONES FEBRERO 2021]]</f>
        <v>3</v>
      </c>
      <c r="P171" s="41">
        <f>+Tabla1[[#This Row],[STOCK  FEBRERO 2021]]-Tabla1[[#This Row],[REQUISICIONES MARZO 2021]]+Tabla1[[#This Row],[ENTRADAS MARZO 2021]]</f>
        <v>3</v>
      </c>
      <c r="Q171" s="41" t="s">
        <v>134</v>
      </c>
      <c r="R171" s="46">
        <v>409.99</v>
      </c>
      <c r="S171" s="36">
        <f t="shared" si="4"/>
        <v>483.78820000000002</v>
      </c>
      <c r="T171" s="100">
        <f>Tabla1[[#This Row],[STOCK MARZO ]]*Tabla1[[#This Row],[COSTO UNITARIO SIN ITBIS]]</f>
        <v>1229.97</v>
      </c>
    </row>
    <row r="172" spans="1:20" s="9" customFormat="1" x14ac:dyDescent="0.25">
      <c r="A172" s="96">
        <v>163</v>
      </c>
      <c r="B172" s="127">
        <v>44285</v>
      </c>
      <c r="C172" s="42" t="s">
        <v>11</v>
      </c>
      <c r="D172" s="127">
        <v>44285</v>
      </c>
      <c r="E172" s="149" t="s">
        <v>797</v>
      </c>
      <c r="F172" s="129"/>
      <c r="G172" s="41" t="s">
        <v>136</v>
      </c>
      <c r="H172" s="131"/>
      <c r="I172" s="131"/>
      <c r="J172" s="131">
        <f>+'INVENTARIO ENERO-MARZO 2021'!$H172-'INVENTARIO ENERO-MARZO 2021'!$I172</f>
        <v>0</v>
      </c>
      <c r="K172" s="131"/>
      <c r="L172" s="131">
        <v>10</v>
      </c>
      <c r="M172" s="131"/>
      <c r="N172" s="131"/>
      <c r="O172" s="132">
        <f>+Tabla1[[#This Row],[STOCK    FISICO ENERO 2021]]-Tabla1[[#This Row],[REQUISICIONES FEBRERO 2021]]</f>
        <v>0</v>
      </c>
      <c r="P172" s="132">
        <f>+Tabla1[[#This Row],[STOCK  FEBRERO 2021]]-Tabla1[[#This Row],[REQUISICIONES MARZO 2021]]+Tabla1[[#This Row],[ENTRADAS MARZO 2021]]</f>
        <v>10</v>
      </c>
      <c r="Q172" s="41" t="s">
        <v>134</v>
      </c>
      <c r="R172" s="133">
        <v>450</v>
      </c>
      <c r="S172" s="100">
        <f t="shared" si="4"/>
        <v>531</v>
      </c>
      <c r="T172" s="100">
        <f>Tabla1[[#This Row],[STOCK MARZO ]]*Tabla1[[#This Row],[COSTO UNITARIO SIN ITBIS]]</f>
        <v>4500</v>
      </c>
    </row>
    <row r="173" spans="1:20" s="9" customFormat="1" x14ac:dyDescent="0.25">
      <c r="A173" s="96">
        <v>164</v>
      </c>
      <c r="B173" s="43">
        <v>43108</v>
      </c>
      <c r="C173" s="42" t="s">
        <v>11</v>
      </c>
      <c r="D173" s="43">
        <v>43108</v>
      </c>
      <c r="E173" s="150"/>
      <c r="F173" s="44">
        <v>1197</v>
      </c>
      <c r="G173" s="41" t="s">
        <v>137</v>
      </c>
      <c r="H173" s="41">
        <v>5</v>
      </c>
      <c r="I173" s="41"/>
      <c r="J173" s="41">
        <f>+'INVENTARIO ENERO-MARZO 2021'!$H173-'INVENTARIO ENERO-MARZO 2021'!$I173</f>
        <v>5</v>
      </c>
      <c r="K173" s="41"/>
      <c r="L173" s="41"/>
      <c r="M173" s="41"/>
      <c r="N173" s="41"/>
      <c r="O173" s="41">
        <f>+Tabla1[[#This Row],[STOCK    FISICO ENERO 2021]]-Tabla1[[#This Row],[REQUISICIONES FEBRERO 2021]]</f>
        <v>5</v>
      </c>
      <c r="P173" s="41">
        <f>+Tabla1[[#This Row],[STOCK  FEBRERO 2021]]-Tabla1[[#This Row],[REQUISICIONES MARZO 2021]]+Tabla1[[#This Row],[ENTRADAS MARZO 2021]]</f>
        <v>5</v>
      </c>
      <c r="Q173" s="41" t="s">
        <v>134</v>
      </c>
      <c r="R173" s="46">
        <v>795</v>
      </c>
      <c r="S173" s="36">
        <f t="shared" si="4"/>
        <v>938.1</v>
      </c>
      <c r="T173" s="100">
        <f>Tabla1[[#This Row],[STOCK MARZO ]]*Tabla1[[#This Row],[COSTO UNITARIO SIN ITBIS]]</f>
        <v>3975</v>
      </c>
    </row>
    <row r="174" spans="1:20" s="9" customFormat="1" x14ac:dyDescent="0.25">
      <c r="A174" s="96">
        <v>165</v>
      </c>
      <c r="B174" s="127">
        <v>44285</v>
      </c>
      <c r="C174" s="42" t="s">
        <v>11</v>
      </c>
      <c r="D174" s="127">
        <v>44285</v>
      </c>
      <c r="E174" s="149" t="s">
        <v>797</v>
      </c>
      <c r="F174" s="129"/>
      <c r="G174" s="41" t="s">
        <v>137</v>
      </c>
      <c r="H174" s="131"/>
      <c r="I174" s="131"/>
      <c r="J174" s="131">
        <f>+'INVENTARIO ENERO-MARZO 2021'!$H174-'INVENTARIO ENERO-MARZO 2021'!$I174</f>
        <v>0</v>
      </c>
      <c r="K174" s="131"/>
      <c r="L174" s="131">
        <v>10</v>
      </c>
      <c r="M174" s="131"/>
      <c r="N174" s="131"/>
      <c r="O174" s="132">
        <f>+Tabla1[[#This Row],[STOCK    FISICO ENERO 2021]]-Tabla1[[#This Row],[REQUISICIONES FEBRERO 2021]]</f>
        <v>0</v>
      </c>
      <c r="P174" s="132">
        <f>+Tabla1[[#This Row],[STOCK  FEBRERO 2021]]-Tabla1[[#This Row],[REQUISICIONES MARZO 2021]]+Tabla1[[#This Row],[ENTRADAS MARZO 2021]]</f>
        <v>10</v>
      </c>
      <c r="Q174" s="41" t="s">
        <v>134</v>
      </c>
      <c r="R174" s="133">
        <v>450</v>
      </c>
      <c r="S174" s="100">
        <f t="shared" si="4"/>
        <v>531</v>
      </c>
      <c r="T174" s="100">
        <f>Tabla1[[#This Row],[STOCK MARZO ]]*Tabla1[[#This Row],[COSTO UNITARIO SIN ITBIS]]</f>
        <v>4500</v>
      </c>
    </row>
    <row r="175" spans="1:20" s="9" customFormat="1" x14ac:dyDescent="0.25">
      <c r="A175" s="96">
        <v>166</v>
      </c>
      <c r="B175" s="127">
        <v>44285</v>
      </c>
      <c r="C175" s="42" t="s">
        <v>11</v>
      </c>
      <c r="D175" s="127">
        <v>44285</v>
      </c>
      <c r="E175" s="149" t="s">
        <v>797</v>
      </c>
      <c r="F175" s="129"/>
      <c r="G175" s="130" t="s">
        <v>810</v>
      </c>
      <c r="H175" s="131"/>
      <c r="I175" s="131"/>
      <c r="J175" s="131">
        <f>+'INVENTARIO ENERO-MARZO 2021'!$H175-'INVENTARIO ENERO-MARZO 2021'!$I175</f>
        <v>0</v>
      </c>
      <c r="K175" s="131"/>
      <c r="L175" s="131">
        <v>5</v>
      </c>
      <c r="M175" s="131"/>
      <c r="N175" s="131"/>
      <c r="O175" s="132">
        <f>+Tabla1[[#This Row],[STOCK    FISICO ENERO 2021]]-Tabla1[[#This Row],[REQUISICIONES FEBRERO 2021]]</f>
        <v>0</v>
      </c>
      <c r="P175" s="132">
        <f>+Tabla1[[#This Row],[STOCK  FEBRERO 2021]]-Tabla1[[#This Row],[REQUISICIONES MARZO 2021]]+Tabla1[[#This Row],[ENTRADAS MARZO 2021]]</f>
        <v>5</v>
      </c>
      <c r="Q175" s="41" t="s">
        <v>134</v>
      </c>
      <c r="R175" s="133">
        <v>1727.37</v>
      </c>
      <c r="S175" s="100">
        <f t="shared" si="4"/>
        <v>2038.2965999999999</v>
      </c>
      <c r="T175" s="100">
        <f>Tabla1[[#This Row],[STOCK MARZO ]]*Tabla1[[#This Row],[COSTO UNITARIO SIN ITBIS]]</f>
        <v>8636.8499999999985</v>
      </c>
    </row>
    <row r="176" spans="1:20" s="9" customFormat="1" x14ac:dyDescent="0.25">
      <c r="A176" s="96">
        <v>167</v>
      </c>
      <c r="B176" s="43"/>
      <c r="C176" s="42" t="s">
        <v>11</v>
      </c>
      <c r="D176" s="43"/>
      <c r="E176" s="150"/>
      <c r="F176" s="45" t="s">
        <v>23</v>
      </c>
      <c r="G176" s="41" t="s">
        <v>138</v>
      </c>
      <c r="H176" s="41">
        <v>7</v>
      </c>
      <c r="I176" s="41"/>
      <c r="J176" s="41">
        <f>+'INVENTARIO ENERO-MARZO 2021'!$H176-'INVENTARIO ENERO-MARZO 2021'!$I176</f>
        <v>7</v>
      </c>
      <c r="K176" s="41"/>
      <c r="L176" s="41"/>
      <c r="M176" s="41">
        <v>2</v>
      </c>
      <c r="N176" s="41">
        <f>1+1</f>
        <v>2</v>
      </c>
      <c r="O176" s="41">
        <f>+Tabla1[[#This Row],[STOCK    FISICO ENERO 2021]]-Tabla1[[#This Row],[REQUISICIONES FEBRERO 2021]]</f>
        <v>5</v>
      </c>
      <c r="P176" s="41">
        <f>+Tabla1[[#This Row],[STOCK  FEBRERO 2021]]-Tabla1[[#This Row],[REQUISICIONES MARZO 2021]]+Tabla1[[#This Row],[ENTRADAS MARZO 2021]]</f>
        <v>3</v>
      </c>
      <c r="Q176" s="41" t="s">
        <v>134</v>
      </c>
      <c r="R176" s="46">
        <v>20</v>
      </c>
      <c r="S176" s="36">
        <f t="shared" si="4"/>
        <v>23.6</v>
      </c>
      <c r="T176" s="100">
        <f>Tabla1[[#This Row],[STOCK MARZO ]]*Tabla1[[#This Row],[COSTO UNITARIO SIN ITBIS]]</f>
        <v>60</v>
      </c>
    </row>
    <row r="177" spans="1:20" s="9" customFormat="1" x14ac:dyDescent="0.25">
      <c r="A177" s="96">
        <v>168</v>
      </c>
      <c r="B177" s="43"/>
      <c r="C177" s="42" t="s">
        <v>11</v>
      </c>
      <c r="D177" s="43"/>
      <c r="E177" s="150"/>
      <c r="F177" s="45" t="s">
        <v>23</v>
      </c>
      <c r="G177" s="41" t="s">
        <v>139</v>
      </c>
      <c r="H177" s="41">
        <v>9</v>
      </c>
      <c r="I177" s="41"/>
      <c r="J177" s="41">
        <f>+'INVENTARIO ENERO-MARZO 2021'!$H177-'INVENTARIO ENERO-MARZO 2021'!$I177</f>
        <v>9</v>
      </c>
      <c r="K177" s="41"/>
      <c r="L177" s="41"/>
      <c r="M177" s="41"/>
      <c r="N177" s="41"/>
      <c r="O177" s="41">
        <f>+Tabla1[[#This Row],[STOCK    FISICO ENERO 2021]]-Tabla1[[#This Row],[REQUISICIONES FEBRERO 2021]]</f>
        <v>9</v>
      </c>
      <c r="P177" s="41">
        <f>+Tabla1[[#This Row],[STOCK  FEBRERO 2021]]-Tabla1[[#This Row],[REQUISICIONES MARZO 2021]]+Tabla1[[#This Row],[ENTRADAS MARZO 2021]]</f>
        <v>9</v>
      </c>
      <c r="Q177" s="41" t="s">
        <v>134</v>
      </c>
      <c r="R177" s="46">
        <v>20</v>
      </c>
      <c r="S177" s="36">
        <f t="shared" si="4"/>
        <v>23.6</v>
      </c>
      <c r="T177" s="100">
        <f>Tabla1[[#This Row],[STOCK MARZO ]]*Tabla1[[#This Row],[COSTO UNITARIO SIN ITBIS]]</f>
        <v>180</v>
      </c>
    </row>
    <row r="178" spans="1:20" s="9" customFormat="1" x14ac:dyDescent="0.25">
      <c r="A178" s="96">
        <v>169</v>
      </c>
      <c r="B178" s="43"/>
      <c r="C178" s="42" t="s">
        <v>11</v>
      </c>
      <c r="D178" s="43"/>
      <c r="E178" s="150"/>
      <c r="F178" s="45" t="s">
        <v>23</v>
      </c>
      <c r="G178" s="41" t="s">
        <v>140</v>
      </c>
      <c r="H178" s="41">
        <v>10</v>
      </c>
      <c r="I178" s="41"/>
      <c r="J178" s="41">
        <f>+'INVENTARIO ENERO-MARZO 2021'!$H178-'INVENTARIO ENERO-MARZO 2021'!$I178</f>
        <v>10</v>
      </c>
      <c r="K178" s="41"/>
      <c r="L178" s="41"/>
      <c r="M178" s="41"/>
      <c r="N178" s="41"/>
      <c r="O178" s="41">
        <f>+Tabla1[[#This Row],[STOCK    FISICO ENERO 2021]]-Tabla1[[#This Row],[REQUISICIONES FEBRERO 2021]]</f>
        <v>10</v>
      </c>
      <c r="P178" s="41">
        <f>+Tabla1[[#This Row],[STOCK  FEBRERO 2021]]-Tabla1[[#This Row],[REQUISICIONES MARZO 2021]]+Tabla1[[#This Row],[ENTRADAS MARZO 2021]]</f>
        <v>10</v>
      </c>
      <c r="Q178" s="41" t="s">
        <v>134</v>
      </c>
      <c r="R178" s="46">
        <v>20</v>
      </c>
      <c r="S178" s="36">
        <f t="shared" si="4"/>
        <v>23.6</v>
      </c>
      <c r="T178" s="100">
        <f>Tabla1[[#This Row],[STOCK MARZO ]]*Tabla1[[#This Row],[COSTO UNITARIO SIN ITBIS]]</f>
        <v>200</v>
      </c>
    </row>
    <row r="179" spans="1:20" s="9" customFormat="1" x14ac:dyDescent="0.25">
      <c r="A179" s="96">
        <v>170</v>
      </c>
      <c r="B179" s="43">
        <v>44109</v>
      </c>
      <c r="C179" s="42" t="s">
        <v>11</v>
      </c>
      <c r="D179" s="43">
        <v>44109</v>
      </c>
      <c r="E179" s="150"/>
      <c r="F179" s="44">
        <v>1194</v>
      </c>
      <c r="G179" s="41" t="s">
        <v>141</v>
      </c>
      <c r="H179" s="41">
        <v>10</v>
      </c>
      <c r="I179" s="41"/>
      <c r="J179" s="41">
        <f>+'INVENTARIO ENERO-MARZO 2021'!$H179-'INVENTARIO ENERO-MARZO 2021'!$I179</f>
        <v>10</v>
      </c>
      <c r="K179" s="41"/>
      <c r="L179" s="41"/>
      <c r="M179" s="41"/>
      <c r="N179" s="41"/>
      <c r="O179" s="41">
        <f>+Tabla1[[#This Row],[STOCK    FISICO ENERO 2021]]-Tabla1[[#This Row],[REQUISICIONES FEBRERO 2021]]</f>
        <v>10</v>
      </c>
      <c r="P179" s="41">
        <f>+Tabla1[[#This Row],[STOCK  FEBRERO 2021]]-Tabla1[[#This Row],[REQUISICIONES MARZO 2021]]+Tabla1[[#This Row],[ENTRADAS MARZO 2021]]</f>
        <v>10</v>
      </c>
      <c r="Q179" s="41" t="s">
        <v>134</v>
      </c>
      <c r="R179" s="46">
        <v>70</v>
      </c>
      <c r="S179" s="36">
        <f t="shared" si="4"/>
        <v>82.6</v>
      </c>
      <c r="T179" s="100">
        <f>Tabla1[[#This Row],[STOCK MARZO ]]*Tabla1[[#This Row],[COSTO UNITARIO SIN ITBIS]]</f>
        <v>700</v>
      </c>
    </row>
    <row r="180" spans="1:20" s="9" customFormat="1" x14ac:dyDescent="0.25">
      <c r="A180" s="96">
        <v>171</v>
      </c>
      <c r="B180" s="32">
        <v>43397</v>
      </c>
      <c r="C180" s="42" t="s">
        <v>11</v>
      </c>
      <c r="D180" s="32">
        <v>43397</v>
      </c>
      <c r="E180" s="148"/>
      <c r="F180" s="29">
        <v>1271</v>
      </c>
      <c r="G180" s="39" t="s">
        <v>142</v>
      </c>
      <c r="H180" s="34">
        <v>9</v>
      </c>
      <c r="I180" s="34">
        <v>3</v>
      </c>
      <c r="J180" s="34">
        <f>+'INVENTARIO ENERO-MARZO 2021'!$H180-'INVENTARIO ENERO-MARZO 2021'!$I180</f>
        <v>6</v>
      </c>
      <c r="K180" s="34"/>
      <c r="L180" s="34"/>
      <c r="M180" s="34"/>
      <c r="N180" s="34"/>
      <c r="O180" s="34">
        <f>+Tabla1[[#This Row],[STOCK    FISICO ENERO 2021]]-Tabla1[[#This Row],[REQUISICIONES FEBRERO 2021]]</f>
        <v>6</v>
      </c>
      <c r="P180" s="34">
        <f>+Tabla1[[#This Row],[STOCK  FEBRERO 2021]]-Tabla1[[#This Row],[REQUISICIONES MARZO 2021]]+Tabla1[[#This Row],[ENTRADAS MARZO 2021]]</f>
        <v>6</v>
      </c>
      <c r="Q180" s="31" t="s">
        <v>12</v>
      </c>
      <c r="R180" s="35">
        <v>860</v>
      </c>
      <c r="S180" s="36">
        <f t="shared" ref="S180" si="5">R180*0.18+R180</f>
        <v>1014.8</v>
      </c>
      <c r="T180" s="100">
        <f>Tabla1[[#This Row],[STOCK MARZO ]]*Tabla1[[#This Row],[COSTO UNITARIO SIN ITBIS]]</f>
        <v>5160</v>
      </c>
    </row>
    <row r="181" spans="1:20" s="9" customFormat="1" x14ac:dyDescent="0.25">
      <c r="A181" s="96">
        <v>172</v>
      </c>
      <c r="B181" s="32">
        <v>44284</v>
      </c>
      <c r="C181" s="42" t="s">
        <v>11</v>
      </c>
      <c r="D181" s="32">
        <v>44281</v>
      </c>
      <c r="E181" s="148" t="s">
        <v>834</v>
      </c>
      <c r="F181" s="29"/>
      <c r="G181" s="39" t="s">
        <v>142</v>
      </c>
      <c r="H181" s="34">
        <v>9</v>
      </c>
      <c r="I181" s="34">
        <v>3</v>
      </c>
      <c r="J181" s="34"/>
      <c r="K181" s="34"/>
      <c r="L181" s="34">
        <v>11</v>
      </c>
      <c r="M181" s="34"/>
      <c r="N181" s="34"/>
      <c r="O181" s="34">
        <f>+Tabla1[[#This Row],[STOCK    FISICO ENERO 2021]]-Tabla1[[#This Row],[REQUISICIONES FEBRERO 2021]]</f>
        <v>0</v>
      </c>
      <c r="P181" s="34">
        <f>+Tabla1[[#This Row],[STOCK  FEBRERO 2021]]-Tabla1[[#This Row],[REQUISICIONES MARZO 2021]]+Tabla1[[#This Row],[ENTRADAS MARZO 2021]]</f>
        <v>11</v>
      </c>
      <c r="Q181" s="31" t="s">
        <v>12</v>
      </c>
      <c r="R181" s="35">
        <v>200</v>
      </c>
      <c r="S181" s="36">
        <f t="shared" si="4"/>
        <v>236</v>
      </c>
      <c r="T181" s="100">
        <f>Tabla1[[#This Row],[STOCK MARZO ]]*Tabla1[[#This Row],[COSTO UNITARIO SIN ITBIS]]</f>
        <v>2200</v>
      </c>
    </row>
    <row r="182" spans="1:20" s="9" customFormat="1" x14ac:dyDescent="0.25">
      <c r="A182" s="96">
        <v>173</v>
      </c>
      <c r="B182" s="127">
        <v>44286</v>
      </c>
      <c r="C182" s="42" t="s">
        <v>11</v>
      </c>
      <c r="D182" s="127">
        <v>44286</v>
      </c>
      <c r="E182" s="149" t="s">
        <v>814</v>
      </c>
      <c r="F182" s="129"/>
      <c r="G182" s="39" t="s">
        <v>822</v>
      </c>
      <c r="H182" s="131"/>
      <c r="I182" s="131"/>
      <c r="J182" s="131">
        <f>+'INVENTARIO ENERO-MARZO 2021'!$H182-'INVENTARIO ENERO-MARZO 2021'!$I182</f>
        <v>0</v>
      </c>
      <c r="K182" s="131"/>
      <c r="L182" s="131">
        <v>24</v>
      </c>
      <c r="M182" s="131"/>
      <c r="N182" s="131"/>
      <c r="O182" s="132">
        <f>+Tabla1[[#This Row],[STOCK    FISICO ENERO 2021]]-Tabla1[[#This Row],[REQUISICIONES FEBRERO 2021]]</f>
        <v>0</v>
      </c>
      <c r="P182" s="132">
        <f>+Tabla1[[#This Row],[STOCK  FEBRERO 2021]]-Tabla1[[#This Row],[REQUISICIONES MARZO 2021]]+Tabla1[[#This Row],[ENTRADAS MARZO 2021]]</f>
        <v>24</v>
      </c>
      <c r="Q182" s="31" t="s">
        <v>12</v>
      </c>
      <c r="R182" s="133">
        <v>250</v>
      </c>
      <c r="S182" s="100">
        <f t="shared" si="4"/>
        <v>295</v>
      </c>
      <c r="T182" s="100">
        <f>Tabla1[[#This Row],[STOCK MARZO ]]*Tabla1[[#This Row],[COSTO UNITARIO SIN ITBIS]]</f>
        <v>6000</v>
      </c>
    </row>
    <row r="183" spans="1:20" s="9" customFormat="1" ht="24.75" thickBot="1" x14ac:dyDescent="0.3">
      <c r="A183" s="57"/>
      <c r="B183" s="57"/>
      <c r="C183" s="57"/>
      <c r="D183" s="57"/>
      <c r="E183" s="152"/>
      <c r="F183" s="57"/>
      <c r="G183" s="57"/>
      <c r="H183" s="58"/>
      <c r="I183" s="58"/>
      <c r="J183" s="58"/>
      <c r="K183" s="58"/>
      <c r="L183" s="58"/>
      <c r="M183" s="58"/>
      <c r="N183" s="58"/>
      <c r="O183" s="58"/>
      <c r="P183" s="58"/>
      <c r="Q183" s="57"/>
      <c r="R183" s="59"/>
      <c r="S183" s="59" t="s">
        <v>762</v>
      </c>
      <c r="T183" s="102">
        <f>+SUM(T10:T181)</f>
        <v>1823125.9739999999</v>
      </c>
    </row>
    <row r="184" spans="1:20" s="9" customFormat="1" ht="15.75" thickTop="1" x14ac:dyDescent="0.25">
      <c r="A184" s="62" t="s">
        <v>144</v>
      </c>
      <c r="B184" s="62"/>
      <c r="C184" s="62"/>
      <c r="D184" s="62"/>
      <c r="E184" s="103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103"/>
    </row>
    <row r="185" spans="1:20" x14ac:dyDescent="0.25">
      <c r="A185" s="94">
        <v>1</v>
      </c>
      <c r="B185" s="43">
        <v>44235</v>
      </c>
      <c r="C185" s="35" t="s">
        <v>11</v>
      </c>
      <c r="D185" s="43">
        <v>44235</v>
      </c>
      <c r="E185" s="150"/>
      <c r="F185" s="52">
        <v>1013</v>
      </c>
      <c r="G185" s="49" t="s">
        <v>145</v>
      </c>
      <c r="H185" s="63">
        <f>27+97+4</f>
        <v>128</v>
      </c>
      <c r="I185" s="63">
        <f>10+8+10+1+5+6+15</f>
        <v>55</v>
      </c>
      <c r="J185" s="63">
        <f>+'INVENTARIO ENERO-MARZO 2021'!$H185-'INVENTARIO ENERO-MARZO 2021'!$I185</f>
        <v>73</v>
      </c>
      <c r="K185" s="63">
        <v>600</v>
      </c>
      <c r="L185" s="63"/>
      <c r="M185" s="63">
        <f>5+20+50+5+1+15+5+5+20+5+15+5+3+5+15+10</f>
        <v>184</v>
      </c>
      <c r="N185" s="63">
        <f>5+20+5+5+15+20+5+1+1+5+20+50+5+15+50+20+20+5+7+5+20+20+5+2</f>
        <v>326</v>
      </c>
      <c r="O185" s="63">
        <f>+Tabla1[[#This Row],[STOCK    FISICO ENERO 2021]]-Tabla1[[#This Row],[REQUISICIONES FEBRERO 2021]]+600</f>
        <v>489</v>
      </c>
      <c r="P185" s="63">
        <f>+Tabla1[[#This Row],[STOCK  FEBRERO 2021]]-Tabla1[[#This Row],[REQUISICIONES MARZO 2021]]+Tabla1[[#This Row],[ENTRADAS MARZO 2021]]</f>
        <v>163</v>
      </c>
      <c r="Q185" s="49" t="s">
        <v>146</v>
      </c>
      <c r="R185" s="53">
        <v>115</v>
      </c>
      <c r="S185" s="40">
        <f t="shared" ref="S185:S205" si="6">R185*0.18+R185</f>
        <v>135.69999999999999</v>
      </c>
      <c r="T185" s="101">
        <f>Tabla1[[#This Row],[STOCK MARZO ]]*Tabla1[[#This Row],[COSTO UNITARIO SIN ITBIS]]</f>
        <v>18745</v>
      </c>
    </row>
    <row r="186" spans="1:20" s="11" customFormat="1" x14ac:dyDescent="0.25">
      <c r="A186" s="94">
        <v>2</v>
      </c>
      <c r="B186" s="43">
        <v>43556</v>
      </c>
      <c r="C186" s="35" t="s">
        <v>11</v>
      </c>
      <c r="D186" s="43">
        <v>43748</v>
      </c>
      <c r="E186" s="150"/>
      <c r="F186" s="52">
        <v>1252</v>
      </c>
      <c r="G186" s="49" t="s">
        <v>147</v>
      </c>
      <c r="H186" s="63">
        <v>202</v>
      </c>
      <c r="I186" s="63">
        <f>2+16+3+4</f>
        <v>25</v>
      </c>
      <c r="J186" s="63">
        <f>+'INVENTARIO ENERO-MARZO 2021'!$H186-'INVENTARIO ENERO-MARZO 2021'!$I186</f>
        <v>177</v>
      </c>
      <c r="K186" s="63"/>
      <c r="L186" s="63"/>
      <c r="M186" s="63">
        <f>3+10+9+3+5</f>
        <v>30</v>
      </c>
      <c r="N186" s="63">
        <f>4+3+2+2+3</f>
        <v>14</v>
      </c>
      <c r="O186" s="63">
        <f>+Tabla1[[#This Row],[STOCK    FISICO ENERO 2021]]-Tabla1[[#This Row],[REQUISICIONES FEBRERO 2021]]</f>
        <v>147</v>
      </c>
      <c r="P186" s="63">
        <f>+Tabla1[[#This Row],[STOCK  FEBRERO 2021]]-Tabla1[[#This Row],[REQUISICIONES MARZO 2021]]+Tabla1[[#This Row],[ENTRADAS MARZO 2021]]</f>
        <v>133</v>
      </c>
      <c r="Q186" s="49" t="s">
        <v>148</v>
      </c>
      <c r="R186" s="53">
        <v>161.24</v>
      </c>
      <c r="S186" s="40">
        <f t="shared" si="6"/>
        <v>190.26320000000001</v>
      </c>
      <c r="T186" s="101">
        <f>Tabla1[[#This Row],[STOCK MARZO ]]*Tabla1[[#This Row],[COSTO UNITARIO SIN ITBIS]]</f>
        <v>21444.920000000002</v>
      </c>
    </row>
    <row r="187" spans="1:20" ht="16.5" customHeight="1" x14ac:dyDescent="0.25">
      <c r="A187" s="94">
        <v>3</v>
      </c>
      <c r="B187" s="43">
        <v>43556</v>
      </c>
      <c r="C187" s="35" t="s">
        <v>11</v>
      </c>
      <c r="D187" s="43">
        <v>43748</v>
      </c>
      <c r="E187" s="150"/>
      <c r="F187" s="52">
        <v>1253</v>
      </c>
      <c r="G187" s="49" t="s">
        <v>149</v>
      </c>
      <c r="H187" s="63">
        <v>150</v>
      </c>
      <c r="I187" s="63">
        <f>3+14+3+2+1+4</f>
        <v>27</v>
      </c>
      <c r="J187" s="63">
        <f>+'INVENTARIO ENERO-MARZO 2021'!$H187-'INVENTARIO ENERO-MARZO 2021'!$I187</f>
        <v>123</v>
      </c>
      <c r="K187" s="63"/>
      <c r="L187" s="63"/>
      <c r="M187" s="63">
        <f>2+5+1+3+9+3+2+5</f>
        <v>30</v>
      </c>
      <c r="N187" s="63">
        <f>4+2+4+2+2+2+2+3</f>
        <v>21</v>
      </c>
      <c r="O187" s="63">
        <f>+Tabla1[[#This Row],[STOCK    FISICO ENERO 2021]]-Tabla1[[#This Row],[REQUISICIONES FEBRERO 2021]]</f>
        <v>93</v>
      </c>
      <c r="P187" s="63">
        <f>+Tabla1[[#This Row],[STOCK  FEBRERO 2021]]-Tabla1[[#This Row],[REQUISICIONES MARZO 2021]]+Tabla1[[#This Row],[ENTRADAS MARZO 2021]]</f>
        <v>72</v>
      </c>
      <c r="Q187" s="49" t="s">
        <v>148</v>
      </c>
      <c r="R187" s="53">
        <v>135.72</v>
      </c>
      <c r="S187" s="40">
        <f t="shared" si="6"/>
        <v>160.14959999999999</v>
      </c>
      <c r="T187" s="101">
        <f>Tabla1[[#This Row],[STOCK MARZO ]]*Tabla1[[#This Row],[COSTO UNITARIO SIN ITBIS]]</f>
        <v>9771.84</v>
      </c>
    </row>
    <row r="188" spans="1:20" s="11" customFormat="1" x14ac:dyDescent="0.25">
      <c r="A188" s="94">
        <v>4</v>
      </c>
      <c r="B188" s="43">
        <v>43634</v>
      </c>
      <c r="C188" s="35" t="s">
        <v>11</v>
      </c>
      <c r="D188" s="43">
        <v>43686</v>
      </c>
      <c r="E188" s="150"/>
      <c r="F188" s="52">
        <v>1255</v>
      </c>
      <c r="G188" s="49" t="s">
        <v>150</v>
      </c>
      <c r="H188" s="63">
        <v>5</v>
      </c>
      <c r="I188" s="63">
        <f>1+1</f>
        <v>2</v>
      </c>
      <c r="J188" s="63">
        <f>+'INVENTARIO ENERO-MARZO 2021'!$H188-'INVENTARIO ENERO-MARZO 2021'!$I188</f>
        <v>3</v>
      </c>
      <c r="K188" s="63"/>
      <c r="L188" s="63"/>
      <c r="M188" s="63">
        <v>1</v>
      </c>
      <c r="N188" s="63"/>
      <c r="O188" s="63">
        <f>+Tabla1[[#This Row],[STOCK    FISICO ENERO 2021]]-Tabla1[[#This Row],[REQUISICIONES FEBRERO 2021]]</f>
        <v>2</v>
      </c>
      <c r="P188" s="63">
        <f>+Tabla1[[#This Row],[STOCK  FEBRERO 2021]]-Tabla1[[#This Row],[REQUISICIONES MARZO 2021]]+Tabla1[[#This Row],[ENTRADAS MARZO 2021]]</f>
        <v>2</v>
      </c>
      <c r="Q188" s="49" t="s">
        <v>151</v>
      </c>
      <c r="R188" s="53">
        <v>796.5</v>
      </c>
      <c r="S188" s="40">
        <f t="shared" si="6"/>
        <v>939.87</v>
      </c>
      <c r="T188" s="101">
        <f>Tabla1[[#This Row],[STOCK MARZO ]]*Tabla1[[#This Row],[COSTO UNITARIO SIN ITBIS]]</f>
        <v>1593</v>
      </c>
    </row>
    <row r="189" spans="1:20" s="11" customFormat="1" x14ac:dyDescent="0.25">
      <c r="A189" s="94">
        <v>5</v>
      </c>
      <c r="B189" s="43">
        <v>44106</v>
      </c>
      <c r="C189" s="35" t="s">
        <v>11</v>
      </c>
      <c r="D189" s="43">
        <v>44106</v>
      </c>
      <c r="E189" s="150"/>
      <c r="F189" s="52">
        <v>1256</v>
      </c>
      <c r="G189" s="65" t="s">
        <v>152</v>
      </c>
      <c r="H189" s="63">
        <v>25</v>
      </c>
      <c r="I189" s="63"/>
      <c r="J189" s="63">
        <f>+'INVENTARIO ENERO-MARZO 2021'!$H189-'INVENTARIO ENERO-MARZO 2021'!$I189</f>
        <v>25</v>
      </c>
      <c r="K189" s="63"/>
      <c r="L189" s="63"/>
      <c r="M189" s="63">
        <v>1</v>
      </c>
      <c r="N189" s="63"/>
      <c r="O189" s="63">
        <f>+Tabla1[[#This Row],[STOCK    FISICO ENERO 2021]]-Tabla1[[#This Row],[REQUISICIONES FEBRERO 2021]]</f>
        <v>24</v>
      </c>
      <c r="P189" s="63">
        <f>+Tabla1[[#This Row],[STOCK  FEBRERO 2021]]-Tabla1[[#This Row],[REQUISICIONES MARZO 2021]]+Tabla1[[#This Row],[ENTRADAS MARZO 2021]]</f>
        <v>24</v>
      </c>
      <c r="Q189" s="65" t="s">
        <v>153</v>
      </c>
      <c r="R189" s="53">
        <v>1260</v>
      </c>
      <c r="S189" s="40">
        <f t="shared" si="6"/>
        <v>1486.8</v>
      </c>
      <c r="T189" s="101">
        <f>Tabla1[[#This Row],[STOCK MARZO ]]*Tabla1[[#This Row],[COSTO UNITARIO SIN ITBIS]]</f>
        <v>30240</v>
      </c>
    </row>
    <row r="190" spans="1:20" s="11" customFormat="1" x14ac:dyDescent="0.25">
      <c r="A190" s="94">
        <v>6</v>
      </c>
      <c r="B190" s="43">
        <v>44119</v>
      </c>
      <c r="C190" s="35" t="s">
        <v>11</v>
      </c>
      <c r="D190" s="43">
        <v>44119</v>
      </c>
      <c r="E190" s="150"/>
      <c r="F190" s="52"/>
      <c r="G190" s="49" t="s">
        <v>154</v>
      </c>
      <c r="H190" s="63">
        <v>15</v>
      </c>
      <c r="I190" s="63"/>
      <c r="J190" s="63">
        <f>+'INVENTARIO ENERO-MARZO 2021'!$H190-'INVENTARIO ENERO-MARZO 2021'!$I190</f>
        <v>15</v>
      </c>
      <c r="K190" s="63"/>
      <c r="L190" s="63"/>
      <c r="M190" s="63">
        <f>1+1</f>
        <v>2</v>
      </c>
      <c r="N190" s="63">
        <v>1</v>
      </c>
      <c r="O190" s="63">
        <f>+Tabla1[[#This Row],[STOCK    FISICO ENERO 2021]]-Tabla1[[#This Row],[REQUISICIONES FEBRERO 2021]]</f>
        <v>13</v>
      </c>
      <c r="P190" s="63">
        <f>+Tabla1[[#This Row],[STOCK  FEBRERO 2021]]-Tabla1[[#This Row],[REQUISICIONES MARZO 2021]]+Tabla1[[#This Row],[ENTRADAS MARZO 2021]]</f>
        <v>12</v>
      </c>
      <c r="Q190" s="49" t="s">
        <v>155</v>
      </c>
      <c r="R190" s="53">
        <v>575</v>
      </c>
      <c r="S190" s="40">
        <f t="shared" si="6"/>
        <v>678.5</v>
      </c>
      <c r="T190" s="101">
        <f>Tabla1[[#This Row],[STOCK MARZO ]]*Tabla1[[#This Row],[COSTO UNITARIO SIN ITBIS]]</f>
        <v>6900</v>
      </c>
    </row>
    <row r="191" spans="1:20" s="11" customFormat="1" x14ac:dyDescent="0.25">
      <c r="A191" s="94">
        <v>7</v>
      </c>
      <c r="B191" s="43">
        <v>43692</v>
      </c>
      <c r="C191" s="42" t="s">
        <v>11</v>
      </c>
      <c r="D191" s="43">
        <v>43784</v>
      </c>
      <c r="E191" s="150"/>
      <c r="F191" s="44">
        <v>1251</v>
      </c>
      <c r="G191" s="41" t="s">
        <v>156</v>
      </c>
      <c r="H191" s="66">
        <v>0</v>
      </c>
      <c r="I191" s="66"/>
      <c r="J191" s="66">
        <f>+'INVENTARIO ENERO-MARZO 2021'!$H191-'INVENTARIO ENERO-MARZO 2021'!$I191</f>
        <v>0</v>
      </c>
      <c r="K191" s="66"/>
      <c r="L191" s="66"/>
      <c r="M191" s="66"/>
      <c r="N191" s="66"/>
      <c r="O191" s="66">
        <f>+Tabla1[[#This Row],[STOCK    FISICO ENERO 2021]]-Tabla1[[#This Row],[REQUISICIONES FEBRERO 2021]]</f>
        <v>0</v>
      </c>
      <c r="P191" s="66">
        <f>+Tabla1[[#This Row],[STOCK  FEBRERO 2021]]-Tabla1[[#This Row],[REQUISICIONES MARZO 2021]]+Tabla1[[#This Row],[ENTRADAS MARZO 2021]]</f>
        <v>0</v>
      </c>
      <c r="Q191" s="41" t="s">
        <v>12</v>
      </c>
      <c r="R191" s="46">
        <v>52</v>
      </c>
      <c r="S191" s="40">
        <f t="shared" si="6"/>
        <v>61.36</v>
      </c>
      <c r="T191" s="101">
        <f>Tabla1[[#This Row],[STOCK MARZO ]]*Tabla1[[#This Row],[COSTO UNITARIO SIN ITBIS]]</f>
        <v>0</v>
      </c>
    </row>
    <row r="192" spans="1:20" s="13" customFormat="1" x14ac:dyDescent="0.25">
      <c r="A192" s="94">
        <v>8</v>
      </c>
      <c r="B192" s="43">
        <v>43556</v>
      </c>
      <c r="C192" s="35" t="s">
        <v>11</v>
      </c>
      <c r="D192" s="43">
        <v>43748</v>
      </c>
      <c r="E192" s="150"/>
      <c r="F192" s="52">
        <v>1039</v>
      </c>
      <c r="G192" s="49" t="s">
        <v>775</v>
      </c>
      <c r="H192" s="67">
        <v>550</v>
      </c>
      <c r="I192" s="67">
        <f>20+140+20+5+5+1</f>
        <v>191</v>
      </c>
      <c r="J192" s="67">
        <f>+'INVENTARIO ENERO-MARZO 2021'!$H192-'INVENTARIO ENERO-MARZO 2021'!$I192+193</f>
        <v>552</v>
      </c>
      <c r="K192" s="67"/>
      <c r="L192" s="67"/>
      <c r="M192" s="67">
        <f>5+20+20+20+5+20+4+50+20+5+20+60</f>
        <v>249</v>
      </c>
      <c r="N192" s="67">
        <f>5+20+5+20+2+3+20+5+20</f>
        <v>100</v>
      </c>
      <c r="O192" s="67">
        <f>+Tabla1[[#This Row],[STOCK    FISICO ENERO 2021]]-Tabla1[[#This Row],[REQUISICIONES FEBRERO 2021]]</f>
        <v>303</v>
      </c>
      <c r="P192" s="67">
        <f>+Tabla1[[#This Row],[STOCK  FEBRERO 2021]]-Tabla1[[#This Row],[REQUISICIONES MARZO 2021]]+Tabla1[[#This Row],[ENTRADAS MARZO 2021]]</f>
        <v>203</v>
      </c>
      <c r="Q192" s="49" t="s">
        <v>51</v>
      </c>
      <c r="R192" s="53">
        <v>229.68</v>
      </c>
      <c r="S192" s="40">
        <f t="shared" si="6"/>
        <v>271.0224</v>
      </c>
      <c r="T192" s="101">
        <f>Tabla1[[#This Row],[STOCK MARZO ]]*Tabla1[[#This Row],[COSTO UNITARIO SIN ITBIS]]</f>
        <v>46625.04</v>
      </c>
    </row>
    <row r="193" spans="1:20" s="13" customFormat="1" x14ac:dyDescent="0.25">
      <c r="A193" s="94">
        <v>9</v>
      </c>
      <c r="B193" s="43">
        <v>43556</v>
      </c>
      <c r="C193" s="35" t="s">
        <v>11</v>
      </c>
      <c r="D193" s="43">
        <v>43686</v>
      </c>
      <c r="E193" s="150"/>
      <c r="F193" s="52" t="s">
        <v>23</v>
      </c>
      <c r="G193" s="49" t="s">
        <v>784</v>
      </c>
      <c r="H193" s="67">
        <v>93</v>
      </c>
      <c r="I193" s="67">
        <f>5+1+1+2+1</f>
        <v>10</v>
      </c>
      <c r="J193" s="67">
        <f>+'INVENTARIO ENERO-MARZO 2021'!$H193-'INVENTARIO ENERO-MARZO 2021'!$I193</f>
        <v>83</v>
      </c>
      <c r="K193" s="67"/>
      <c r="L193" s="67"/>
      <c r="M193" s="67">
        <f>1+1+1+1+1+1+5+1+1+1+1+2</f>
        <v>17</v>
      </c>
      <c r="N193" s="67">
        <f>1+1+2+1+2+1+1+1+1</f>
        <v>11</v>
      </c>
      <c r="O193" s="67">
        <f>+Tabla1[[#This Row],[STOCK    FISICO ENERO 2021]]-Tabla1[[#This Row],[REQUISICIONES FEBRERO 2021]]</f>
        <v>66</v>
      </c>
      <c r="P193" s="67">
        <f>+Tabla1[[#This Row],[STOCK  FEBRERO 2021]]-Tabla1[[#This Row],[REQUISICIONES MARZO 2021]]+Tabla1[[#This Row],[ENTRADAS MARZO 2021]]</f>
        <v>55</v>
      </c>
      <c r="Q193" s="49" t="s">
        <v>134</v>
      </c>
      <c r="R193" s="53">
        <v>224.2</v>
      </c>
      <c r="S193" s="40">
        <f t="shared" si="6"/>
        <v>264.55599999999998</v>
      </c>
      <c r="T193" s="101">
        <f>Tabla1[[#This Row],[STOCK MARZO ]]*Tabla1[[#This Row],[COSTO UNITARIO SIN ITBIS]]</f>
        <v>12331</v>
      </c>
    </row>
    <row r="194" spans="1:20" x14ac:dyDescent="0.25">
      <c r="A194" s="94">
        <v>10</v>
      </c>
      <c r="B194" s="43">
        <v>43637</v>
      </c>
      <c r="C194" s="42" t="s">
        <v>11</v>
      </c>
      <c r="D194" s="43">
        <v>43634</v>
      </c>
      <c r="E194" s="150"/>
      <c r="F194" s="44">
        <v>1257</v>
      </c>
      <c r="G194" s="41" t="s">
        <v>158</v>
      </c>
      <c r="H194" s="66">
        <v>63</v>
      </c>
      <c r="I194" s="66"/>
      <c r="J194" s="66">
        <f>+'INVENTARIO ENERO-MARZO 2021'!$H194-'INVENTARIO ENERO-MARZO 2021'!$I194</f>
        <v>63</v>
      </c>
      <c r="K194" s="66"/>
      <c r="L194" s="66"/>
      <c r="M194" s="66">
        <f>1+2+1</f>
        <v>4</v>
      </c>
      <c r="N194" s="66">
        <f>1+1+1+1+2+1</f>
        <v>7</v>
      </c>
      <c r="O194" s="66">
        <f>+Tabla1[[#This Row],[STOCK    FISICO ENERO 2021]]-Tabla1[[#This Row],[REQUISICIONES FEBRERO 2021]]</f>
        <v>59</v>
      </c>
      <c r="P194" s="66">
        <f>+Tabla1[[#This Row],[STOCK  FEBRERO 2021]]-Tabla1[[#This Row],[REQUISICIONES MARZO 2021]]+Tabla1[[#This Row],[ENTRADAS MARZO 2021]]</f>
        <v>52</v>
      </c>
      <c r="Q194" s="41" t="s">
        <v>51</v>
      </c>
      <c r="R194" s="46">
        <v>23.3</v>
      </c>
      <c r="S194" s="40">
        <f t="shared" si="6"/>
        <v>27.494</v>
      </c>
      <c r="T194" s="101">
        <f>Tabla1[[#This Row],[STOCK MARZO ]]*Tabla1[[#This Row],[COSTO UNITARIO SIN ITBIS]]</f>
        <v>1211.6000000000001</v>
      </c>
    </row>
    <row r="195" spans="1:20" s="11" customFormat="1" x14ac:dyDescent="0.25">
      <c r="A195" s="94">
        <v>11</v>
      </c>
      <c r="B195" s="43">
        <v>43637</v>
      </c>
      <c r="C195" s="42" t="s">
        <v>11</v>
      </c>
      <c r="D195" s="43">
        <v>43634</v>
      </c>
      <c r="E195" s="150"/>
      <c r="F195" s="44">
        <v>1258</v>
      </c>
      <c r="G195" s="41" t="s">
        <v>159</v>
      </c>
      <c r="H195" s="66">
        <v>144</v>
      </c>
      <c r="I195" s="66"/>
      <c r="J195" s="66">
        <f>+'INVENTARIO ENERO-MARZO 2021'!$H195-'INVENTARIO ENERO-MARZO 2021'!$I195</f>
        <v>144</v>
      </c>
      <c r="K195" s="66"/>
      <c r="L195" s="66"/>
      <c r="M195" s="66"/>
      <c r="N195" s="66">
        <f>1+1+2</f>
        <v>4</v>
      </c>
      <c r="O195" s="66">
        <f>+Tabla1[[#This Row],[STOCK    FISICO ENERO 2021]]-Tabla1[[#This Row],[REQUISICIONES FEBRERO 2021]]</f>
        <v>144</v>
      </c>
      <c r="P195" s="66">
        <f>+Tabla1[[#This Row],[STOCK  FEBRERO 2021]]-Tabla1[[#This Row],[REQUISICIONES MARZO 2021]]+Tabla1[[#This Row],[ENTRADAS MARZO 2021]]</f>
        <v>140</v>
      </c>
      <c r="Q195" s="41" t="s">
        <v>51</v>
      </c>
      <c r="R195" s="46">
        <v>23.3</v>
      </c>
      <c r="S195" s="40">
        <f t="shared" si="6"/>
        <v>27.494</v>
      </c>
      <c r="T195" s="101">
        <f>Tabla1[[#This Row],[STOCK MARZO ]]*Tabla1[[#This Row],[COSTO UNITARIO SIN ITBIS]]</f>
        <v>3262</v>
      </c>
    </row>
    <row r="196" spans="1:20" s="11" customFormat="1" x14ac:dyDescent="0.25">
      <c r="A196" s="94">
        <v>12</v>
      </c>
      <c r="B196" s="43">
        <v>43637</v>
      </c>
      <c r="C196" s="42" t="s">
        <v>11</v>
      </c>
      <c r="D196" s="43">
        <v>43686</v>
      </c>
      <c r="E196" s="150"/>
      <c r="F196" s="44">
        <v>1256</v>
      </c>
      <c r="G196" s="41" t="s">
        <v>160</v>
      </c>
      <c r="H196" s="66">
        <v>35</v>
      </c>
      <c r="I196" s="66">
        <v>1</v>
      </c>
      <c r="J196" s="66">
        <f>+'INVENTARIO ENERO-MARZO 2021'!$H196-'INVENTARIO ENERO-MARZO 2021'!$I196</f>
        <v>34</v>
      </c>
      <c r="K196" s="66"/>
      <c r="L196" s="66"/>
      <c r="M196" s="66">
        <v>1</v>
      </c>
      <c r="N196" s="66">
        <f>1+1+3+1+2</f>
        <v>8</v>
      </c>
      <c r="O196" s="66">
        <f>+Tabla1[[#This Row],[STOCK    FISICO ENERO 2021]]-Tabla1[[#This Row],[REQUISICIONES FEBRERO 2021]]</f>
        <v>33</v>
      </c>
      <c r="P196" s="66">
        <f>+Tabla1[[#This Row],[STOCK  FEBRERO 2021]]-Tabla1[[#This Row],[REQUISICIONES MARZO 2021]]+Tabla1[[#This Row],[ENTRADAS MARZO 2021]]</f>
        <v>25</v>
      </c>
      <c r="Q196" s="41" t="s">
        <v>51</v>
      </c>
      <c r="R196" s="46">
        <v>41.3</v>
      </c>
      <c r="S196" s="40">
        <f t="shared" si="6"/>
        <v>48.733999999999995</v>
      </c>
      <c r="T196" s="101">
        <f>Tabla1[[#This Row],[STOCK MARZO ]]*Tabla1[[#This Row],[COSTO UNITARIO SIN ITBIS]]</f>
        <v>1032.5</v>
      </c>
    </row>
    <row r="197" spans="1:20" x14ac:dyDescent="0.25">
      <c r="A197" s="94">
        <v>13</v>
      </c>
      <c r="B197" s="43">
        <v>44106</v>
      </c>
      <c r="C197" s="42" t="s">
        <v>11</v>
      </c>
      <c r="D197" s="43">
        <v>44106</v>
      </c>
      <c r="E197" s="150"/>
      <c r="F197" s="44">
        <v>1259</v>
      </c>
      <c r="G197" s="41" t="s">
        <v>161</v>
      </c>
      <c r="H197" s="66">
        <v>10</v>
      </c>
      <c r="I197" s="66">
        <f>2+1</f>
        <v>3</v>
      </c>
      <c r="J197" s="66">
        <f>+'INVENTARIO ENERO-MARZO 2021'!$H197-'INVENTARIO ENERO-MARZO 2021'!$I197+1</f>
        <v>8</v>
      </c>
      <c r="K197" s="66"/>
      <c r="L197" s="66"/>
      <c r="M197" s="66">
        <f>1+2+2+1+1</f>
        <v>7</v>
      </c>
      <c r="N197" s="66">
        <v>1</v>
      </c>
      <c r="O197" s="66">
        <f>+Tabla1[[#This Row],[STOCK    FISICO ENERO 2021]]-Tabla1[[#This Row],[REQUISICIONES FEBRERO 2021]]</f>
        <v>1</v>
      </c>
      <c r="P197" s="66">
        <f>+Tabla1[[#This Row],[STOCK  FEBRERO 2021]]-Tabla1[[#This Row],[REQUISICIONES MARZO 2021]]+Tabla1[[#This Row],[ENTRADAS MARZO 2021]]</f>
        <v>0</v>
      </c>
      <c r="Q197" s="41" t="s">
        <v>51</v>
      </c>
      <c r="R197" s="46">
        <v>39</v>
      </c>
      <c r="S197" s="40">
        <f t="shared" si="6"/>
        <v>46.019999999999996</v>
      </c>
      <c r="T197" s="101">
        <f>Tabla1[[#This Row],[STOCK MARZO ]]*Tabla1[[#This Row],[COSTO UNITARIO SIN ITBIS]]</f>
        <v>0</v>
      </c>
    </row>
    <row r="198" spans="1:20" x14ac:dyDescent="0.25">
      <c r="A198" s="94">
        <v>14</v>
      </c>
      <c r="B198" s="43">
        <v>44124</v>
      </c>
      <c r="C198" s="42" t="s">
        <v>11</v>
      </c>
      <c r="D198" s="43">
        <v>44124</v>
      </c>
      <c r="E198" s="150"/>
      <c r="F198" s="44" t="s">
        <v>23</v>
      </c>
      <c r="G198" s="41" t="s">
        <v>162</v>
      </c>
      <c r="H198" s="66">
        <v>5</v>
      </c>
      <c r="I198" s="66"/>
      <c r="J198" s="66">
        <f>+'INVENTARIO ENERO-MARZO 2021'!$H198-'INVENTARIO ENERO-MARZO 2021'!$I198</f>
        <v>5</v>
      </c>
      <c r="K198" s="66"/>
      <c r="L198" s="66"/>
      <c r="M198" s="66">
        <v>1</v>
      </c>
      <c r="N198" s="66"/>
      <c r="O198" s="66">
        <f>+Tabla1[[#This Row],[STOCK    FISICO ENERO 2021]]-Tabla1[[#This Row],[REQUISICIONES FEBRERO 2021]]</f>
        <v>4</v>
      </c>
      <c r="P198" s="66">
        <f>+Tabla1[[#This Row],[STOCK  FEBRERO 2021]]-Tabla1[[#This Row],[REQUISICIONES MARZO 2021]]+Tabla1[[#This Row],[ENTRADAS MARZO 2021]]</f>
        <v>4</v>
      </c>
      <c r="Q198" s="41" t="s">
        <v>51</v>
      </c>
      <c r="R198" s="46">
        <v>183</v>
      </c>
      <c r="S198" s="40">
        <f t="shared" si="6"/>
        <v>215.94</v>
      </c>
      <c r="T198" s="101">
        <f>Tabla1[[#This Row],[STOCK MARZO ]]*Tabla1[[#This Row],[COSTO UNITARIO SIN ITBIS]]</f>
        <v>732</v>
      </c>
    </row>
    <row r="199" spans="1:20" x14ac:dyDescent="0.25">
      <c r="A199" s="94">
        <v>15</v>
      </c>
      <c r="B199" s="43">
        <v>43686</v>
      </c>
      <c r="C199" s="42" t="s">
        <v>11</v>
      </c>
      <c r="D199" s="43">
        <v>43686</v>
      </c>
      <c r="E199" s="150"/>
      <c r="F199" s="44">
        <v>1470</v>
      </c>
      <c r="G199" s="41" t="s">
        <v>163</v>
      </c>
      <c r="H199" s="66">
        <v>13</v>
      </c>
      <c r="I199" s="66"/>
      <c r="J199" s="66">
        <f>+'INVENTARIO ENERO-MARZO 2021'!$H199-'INVENTARIO ENERO-MARZO 2021'!$I199</f>
        <v>13</v>
      </c>
      <c r="K199" s="66"/>
      <c r="L199" s="66"/>
      <c r="M199" s="66"/>
      <c r="N199" s="66"/>
      <c r="O199" s="66">
        <f>+Tabla1[[#This Row],[STOCK    FISICO ENERO 2021]]-Tabla1[[#This Row],[REQUISICIONES FEBRERO 2021]]</f>
        <v>13</v>
      </c>
      <c r="P199" s="66">
        <f>+Tabla1[[#This Row],[STOCK  FEBRERO 2021]]-Tabla1[[#This Row],[REQUISICIONES MARZO 2021]]+Tabla1[[#This Row],[ENTRADAS MARZO 2021]]</f>
        <v>13</v>
      </c>
      <c r="Q199" s="41" t="s">
        <v>51</v>
      </c>
      <c r="R199" s="46">
        <v>53.1</v>
      </c>
      <c r="S199" s="40">
        <f t="shared" si="6"/>
        <v>62.658000000000001</v>
      </c>
      <c r="T199" s="101">
        <f>Tabla1[[#This Row],[STOCK MARZO ]]*Tabla1[[#This Row],[COSTO UNITARIO SIN ITBIS]]</f>
        <v>690.30000000000007</v>
      </c>
    </row>
    <row r="200" spans="1:20" s="9" customFormat="1" x14ac:dyDescent="0.25">
      <c r="A200" s="94">
        <v>16</v>
      </c>
      <c r="B200" s="43">
        <v>43556</v>
      </c>
      <c r="C200" s="35" t="s">
        <v>11</v>
      </c>
      <c r="D200" s="43">
        <v>43686</v>
      </c>
      <c r="E200" s="150"/>
      <c r="F200" s="52">
        <v>1174</v>
      </c>
      <c r="G200" s="49" t="s">
        <v>164</v>
      </c>
      <c r="H200" s="67">
        <v>46</v>
      </c>
      <c r="I200" s="67">
        <f>5+1+1+1+1+1</f>
        <v>10</v>
      </c>
      <c r="J200" s="67">
        <f>+'INVENTARIO ENERO-MARZO 2021'!$H200-'INVENTARIO ENERO-MARZO 2021'!$I200</f>
        <v>36</v>
      </c>
      <c r="K200" s="67"/>
      <c r="L200" s="67"/>
      <c r="M200" s="67">
        <f>1+1+1+2+2+1+3+1+1+1+1+1</f>
        <v>16</v>
      </c>
      <c r="N200" s="67">
        <f>1+1+1+1+1+1+1+1+1+2+1+1+1</f>
        <v>14</v>
      </c>
      <c r="O200" s="67">
        <f>+Tabla1[[#This Row],[STOCK    FISICO ENERO 2021]]-Tabla1[[#This Row],[REQUISICIONES FEBRERO 2021]]</f>
        <v>20</v>
      </c>
      <c r="P200" s="67">
        <f>+Tabla1[[#This Row],[STOCK  FEBRERO 2021]]-Tabla1[[#This Row],[REQUISICIONES MARZO 2021]]+Tabla1[[#This Row],[ENTRADAS MARZO 2021]]</f>
        <v>6</v>
      </c>
      <c r="Q200" s="49" t="s">
        <v>51</v>
      </c>
      <c r="R200" s="53">
        <v>76.7</v>
      </c>
      <c r="S200" s="40">
        <f t="shared" si="6"/>
        <v>90.506</v>
      </c>
      <c r="T200" s="101">
        <f>Tabla1[[#This Row],[STOCK MARZO ]]*Tabla1[[#This Row],[COSTO UNITARIO SIN ITBIS]]</f>
        <v>460.20000000000005</v>
      </c>
    </row>
    <row r="201" spans="1:20" s="9" customFormat="1" x14ac:dyDescent="0.25">
      <c r="A201" s="94">
        <v>17</v>
      </c>
      <c r="B201" s="43"/>
      <c r="C201" s="42" t="s">
        <v>11</v>
      </c>
      <c r="D201" s="43">
        <v>44124</v>
      </c>
      <c r="E201" s="150"/>
      <c r="F201" s="44" t="s">
        <v>23</v>
      </c>
      <c r="G201" s="41" t="s">
        <v>165</v>
      </c>
      <c r="H201" s="66">
        <v>18</v>
      </c>
      <c r="I201" s="66"/>
      <c r="J201" s="66">
        <f>+'INVENTARIO ENERO-MARZO 2021'!$H201-'INVENTARIO ENERO-MARZO 2021'!$I201</f>
        <v>18</v>
      </c>
      <c r="K201" s="66"/>
      <c r="L201" s="66"/>
      <c r="M201" s="66"/>
      <c r="N201" s="66">
        <v>1</v>
      </c>
      <c r="O201" s="66">
        <f>+Tabla1[[#This Row],[STOCK    FISICO ENERO 2021]]-Tabla1[[#This Row],[REQUISICIONES FEBRERO 2021]]</f>
        <v>18</v>
      </c>
      <c r="P201" s="66">
        <f>+Tabla1[[#This Row],[STOCK  FEBRERO 2021]]-Tabla1[[#This Row],[REQUISICIONES MARZO 2021]]+Tabla1[[#This Row],[ENTRADAS MARZO 2021]]</f>
        <v>17</v>
      </c>
      <c r="Q201" s="41" t="s">
        <v>51</v>
      </c>
      <c r="R201" s="46">
        <v>183</v>
      </c>
      <c r="S201" s="40">
        <f t="shared" si="6"/>
        <v>215.94</v>
      </c>
      <c r="T201" s="101">
        <f>Tabla1[[#This Row],[STOCK MARZO ]]*Tabla1[[#This Row],[COSTO UNITARIO SIN ITBIS]]</f>
        <v>3111</v>
      </c>
    </row>
    <row r="202" spans="1:20" x14ac:dyDescent="0.25">
      <c r="A202" s="94">
        <v>18</v>
      </c>
      <c r="B202" s="43">
        <v>44119</v>
      </c>
      <c r="C202" s="42" t="s">
        <v>11</v>
      </c>
      <c r="D202" s="43">
        <v>44119</v>
      </c>
      <c r="E202" s="150"/>
      <c r="F202" s="44" t="s">
        <v>23</v>
      </c>
      <c r="G202" s="41" t="s">
        <v>166</v>
      </c>
      <c r="H202" s="66">
        <v>6</v>
      </c>
      <c r="I202" s="66">
        <f>2+2+1</f>
        <v>5</v>
      </c>
      <c r="J202" s="66">
        <f>+'INVENTARIO ENERO-MARZO 2021'!$H202-'INVENTARIO ENERO-MARZO 2021'!$I202</f>
        <v>1</v>
      </c>
      <c r="K202" s="66"/>
      <c r="L202" s="66"/>
      <c r="M202" s="66"/>
      <c r="N202" s="66">
        <v>1</v>
      </c>
      <c r="O202" s="66">
        <f>+Tabla1[[#This Row],[STOCK    FISICO ENERO 2021]]-Tabla1[[#This Row],[REQUISICIONES FEBRERO 2021]]</f>
        <v>1</v>
      </c>
      <c r="P202" s="66">
        <f>+Tabla1[[#This Row],[STOCK  FEBRERO 2021]]-Tabla1[[#This Row],[REQUISICIONES MARZO 2021]]+Tabla1[[#This Row],[ENTRADAS MARZO 2021]]</f>
        <v>0</v>
      </c>
      <c r="Q202" s="41" t="s">
        <v>167</v>
      </c>
      <c r="R202" s="46">
        <v>240</v>
      </c>
      <c r="S202" s="40">
        <f t="shared" si="6"/>
        <v>283.2</v>
      </c>
      <c r="T202" s="101">
        <f>Tabla1[[#This Row],[STOCK MARZO ]]*Tabla1[[#This Row],[COSTO UNITARIO SIN ITBIS]]</f>
        <v>0</v>
      </c>
    </row>
    <row r="203" spans="1:20" s="13" customFormat="1" x14ac:dyDescent="0.25">
      <c r="A203" s="94">
        <v>19</v>
      </c>
      <c r="B203" s="43">
        <v>43634</v>
      </c>
      <c r="C203" s="42" t="s">
        <v>11</v>
      </c>
      <c r="D203" s="43">
        <v>43686</v>
      </c>
      <c r="E203" s="150"/>
      <c r="F203" s="44">
        <v>1186</v>
      </c>
      <c r="G203" s="41" t="s">
        <v>168</v>
      </c>
      <c r="H203" s="66">
        <v>0</v>
      </c>
      <c r="I203" s="66"/>
      <c r="J203" s="66">
        <f>+'INVENTARIO ENERO-MARZO 2021'!$H203-'INVENTARIO ENERO-MARZO 2021'!$I203</f>
        <v>0</v>
      </c>
      <c r="K203" s="66"/>
      <c r="L203" s="66"/>
      <c r="M203" s="66"/>
      <c r="N203" s="66"/>
      <c r="O203" s="66">
        <f>+Tabla1[[#This Row],[STOCK    FISICO ENERO 2021]]-Tabla1[[#This Row],[REQUISICIONES FEBRERO 2021]]</f>
        <v>0</v>
      </c>
      <c r="P203" s="66">
        <f>+Tabla1[[#This Row],[STOCK  FEBRERO 2021]]-Tabla1[[#This Row],[REQUISICIONES MARZO 2021]]+Tabla1[[#This Row],[ENTRADAS MARZO 2021]]</f>
        <v>0</v>
      </c>
      <c r="Q203" s="41" t="s">
        <v>169</v>
      </c>
      <c r="R203" s="46">
        <v>383.5</v>
      </c>
      <c r="S203" s="40">
        <f t="shared" si="6"/>
        <v>452.53</v>
      </c>
      <c r="T203" s="101">
        <f>Tabla1[[#This Row],[STOCK MARZO ]]*Tabla1[[#This Row],[COSTO UNITARIO SIN ITBIS]]</f>
        <v>0</v>
      </c>
    </row>
    <row r="204" spans="1:20" s="9" customFormat="1" x14ac:dyDescent="0.25">
      <c r="A204" s="94">
        <v>20</v>
      </c>
      <c r="B204" s="43">
        <v>43637</v>
      </c>
      <c r="C204" s="42" t="s">
        <v>11</v>
      </c>
      <c r="D204" s="43">
        <v>43634</v>
      </c>
      <c r="E204" s="150"/>
      <c r="F204" s="44">
        <v>1187</v>
      </c>
      <c r="G204" s="41" t="s">
        <v>170</v>
      </c>
      <c r="H204" s="66">
        <v>8</v>
      </c>
      <c r="I204" s="66">
        <f>1+1</f>
        <v>2</v>
      </c>
      <c r="J204" s="66">
        <f>+'INVENTARIO ENERO-MARZO 2021'!$H204-'INVENTARIO ENERO-MARZO 2021'!$I204</f>
        <v>6</v>
      </c>
      <c r="K204" s="66"/>
      <c r="L204" s="66"/>
      <c r="M204" s="66">
        <f>2+1+1+1+1</f>
        <v>6</v>
      </c>
      <c r="N204" s="66"/>
      <c r="O204" s="66">
        <f>+Tabla1[[#This Row],[STOCK    FISICO ENERO 2021]]-Tabla1[[#This Row],[REQUISICIONES FEBRERO 2021]]</f>
        <v>0</v>
      </c>
      <c r="P204" s="66">
        <f>+Tabla1[[#This Row],[STOCK  FEBRERO 2021]]-Tabla1[[#This Row],[REQUISICIONES MARZO 2021]]+Tabla1[[#This Row],[ENTRADAS MARZO 2021]]</f>
        <v>0</v>
      </c>
      <c r="Q204" s="41" t="s">
        <v>167</v>
      </c>
      <c r="R204" s="46">
        <v>240</v>
      </c>
      <c r="S204" s="40">
        <f t="shared" si="6"/>
        <v>283.2</v>
      </c>
      <c r="T204" s="101">
        <f>Tabla1[[#This Row],[STOCK MARZO ]]*Tabla1[[#This Row],[COSTO UNITARIO SIN ITBIS]]</f>
        <v>0</v>
      </c>
    </row>
    <row r="205" spans="1:20" s="9" customFormat="1" x14ac:dyDescent="0.25">
      <c r="A205" s="94">
        <v>21</v>
      </c>
      <c r="B205" s="43">
        <v>43637</v>
      </c>
      <c r="C205" s="35" t="s">
        <v>11</v>
      </c>
      <c r="D205" s="43">
        <v>43686</v>
      </c>
      <c r="E205" s="150"/>
      <c r="F205" s="52">
        <v>1246</v>
      </c>
      <c r="G205" s="49" t="s">
        <v>171</v>
      </c>
      <c r="H205" s="67">
        <f>57+150+3900</f>
        <v>4107</v>
      </c>
      <c r="I205" s="67">
        <f>10+50+1+1+15+2+2+1+2+15</f>
        <v>99</v>
      </c>
      <c r="J205" s="67">
        <f>+'INVENTARIO ENERO-MARZO 2021'!$H205-'INVENTARIO ENERO-MARZO 2021'!$I205</f>
        <v>4008</v>
      </c>
      <c r="K205" s="67"/>
      <c r="L205" s="67"/>
      <c r="M205" s="67">
        <f>2+15+3+2+20+10+2+2+2+15+30+2+3+2+20+2+2+10</f>
        <v>144</v>
      </c>
      <c r="N205" s="67">
        <f>15+1+10+2+1+1+15+1+2+2+2+15+3+1+15+2+15+2</f>
        <v>105</v>
      </c>
      <c r="O205" s="67">
        <f>+Tabla1[[#This Row],[STOCK    FISICO ENERO 2021]]-Tabla1[[#This Row],[REQUISICIONES FEBRERO 2021]]</f>
        <v>3864</v>
      </c>
      <c r="P205" s="67">
        <f>+Tabla1[[#This Row],[STOCK  FEBRERO 2021]]-Tabla1[[#This Row],[REQUISICIONES MARZO 2021]]+Tabla1[[#This Row],[ENTRADAS MARZO 2021]]</f>
        <v>3759</v>
      </c>
      <c r="Q205" s="49" t="s">
        <v>51</v>
      </c>
      <c r="R205" s="53">
        <v>56.64</v>
      </c>
      <c r="S205" s="40">
        <f t="shared" si="6"/>
        <v>66.8352</v>
      </c>
      <c r="T205" s="101">
        <f>Tabla1[[#This Row],[STOCK MARZO ]]*Tabla1[[#This Row],[COSTO UNITARIO SIN ITBIS]]</f>
        <v>212909.76</v>
      </c>
    </row>
    <row r="206" spans="1:20" x14ac:dyDescent="0.25">
      <c r="A206" s="94">
        <v>22</v>
      </c>
      <c r="B206" s="43">
        <v>43637</v>
      </c>
      <c r="C206" s="42" t="s">
        <v>11</v>
      </c>
      <c r="D206" s="43">
        <v>43634</v>
      </c>
      <c r="E206" s="150"/>
      <c r="F206" s="44">
        <v>1254</v>
      </c>
      <c r="G206" s="41" t="s">
        <v>783</v>
      </c>
      <c r="H206" s="68">
        <f>139+288</f>
        <v>427</v>
      </c>
      <c r="I206" s="68">
        <f>10+25+15+15</f>
        <v>65</v>
      </c>
      <c r="J206" s="68">
        <f>+'INVENTARIO ENERO-MARZO 2021'!$H206-'INVENTARIO ENERO-MARZO 2021'!$I206</f>
        <v>362</v>
      </c>
      <c r="K206" s="68"/>
      <c r="L206" s="68"/>
      <c r="M206" s="68">
        <f>2+15+10+15+30+15+10</f>
        <v>97</v>
      </c>
      <c r="N206" s="68">
        <f>15+2+15+2+15+15+15+1</f>
        <v>80</v>
      </c>
      <c r="O206" s="68">
        <f>+Tabla1[[#This Row],[STOCK    FISICO ENERO 2021]]-Tabla1[[#This Row],[REQUISICIONES FEBRERO 2021]]</f>
        <v>265</v>
      </c>
      <c r="P206" s="68">
        <f>+Tabla1[[#This Row],[STOCK  FEBRERO 2021]]-Tabla1[[#This Row],[REQUISICIONES MARZO 2021]]+Tabla1[[#This Row],[ENTRADAS MARZO 2021]]</f>
        <v>185</v>
      </c>
      <c r="Q206" s="41" t="s">
        <v>51</v>
      </c>
      <c r="R206" s="46">
        <v>113.95</v>
      </c>
      <c r="S206" s="40">
        <v>87.32</v>
      </c>
      <c r="T206" s="101">
        <f>Tabla1[[#This Row],[STOCK MARZO ]]*Tabla1[[#This Row],[COSTO UNITARIO SIN ITBIS]]</f>
        <v>21080.75</v>
      </c>
    </row>
    <row r="207" spans="1:20" x14ac:dyDescent="0.25">
      <c r="A207" s="94">
        <v>23</v>
      </c>
      <c r="B207" s="43">
        <v>44123</v>
      </c>
      <c r="C207" s="35" t="s">
        <v>11</v>
      </c>
      <c r="D207" s="43">
        <v>44123</v>
      </c>
      <c r="E207" s="150"/>
      <c r="F207" s="52" t="s">
        <v>23</v>
      </c>
      <c r="G207" s="49" t="s">
        <v>172</v>
      </c>
      <c r="H207" s="63">
        <v>47</v>
      </c>
      <c r="I207" s="63"/>
      <c r="J207" s="63">
        <f>+'INVENTARIO ENERO-MARZO 2021'!$H207-'INVENTARIO ENERO-MARZO 2021'!$I207</f>
        <v>47</v>
      </c>
      <c r="K207" s="63"/>
      <c r="L207" s="63"/>
      <c r="M207" s="63">
        <f>1+2+2</f>
        <v>5</v>
      </c>
      <c r="N207" s="63">
        <f>1+1+4</f>
        <v>6</v>
      </c>
      <c r="O207" s="63">
        <f>+Tabla1[[#This Row],[STOCK    FISICO ENERO 2021]]-Tabla1[[#This Row],[REQUISICIONES FEBRERO 2021]]</f>
        <v>42</v>
      </c>
      <c r="P207" s="63">
        <f>+Tabla1[[#This Row],[STOCK  FEBRERO 2021]]-Tabla1[[#This Row],[REQUISICIONES MARZO 2021]]+Tabla1[[#This Row],[ENTRADAS MARZO 2021]]</f>
        <v>36</v>
      </c>
      <c r="Q207" s="49" t="s">
        <v>51</v>
      </c>
      <c r="R207" s="53">
        <v>63</v>
      </c>
      <c r="S207" s="40">
        <f>R207*0.18+R207</f>
        <v>74.34</v>
      </c>
      <c r="T207" s="101">
        <f>Tabla1[[#This Row],[STOCK MARZO ]]*Tabla1[[#This Row],[COSTO UNITARIO SIN ITBIS]]</f>
        <v>2268</v>
      </c>
    </row>
    <row r="208" spans="1:20" s="11" customFormat="1" ht="15.75" thickBot="1" x14ac:dyDescent="0.3">
      <c r="A208" s="57"/>
      <c r="B208" s="57"/>
      <c r="C208" s="57"/>
      <c r="D208" s="57"/>
      <c r="E208" s="152"/>
      <c r="F208" s="57"/>
      <c r="G208" s="57"/>
      <c r="H208" s="58"/>
      <c r="I208" s="58"/>
      <c r="J208" s="58"/>
      <c r="K208" s="58"/>
      <c r="L208" s="58"/>
      <c r="M208" s="58"/>
      <c r="N208" s="58"/>
      <c r="O208" s="58"/>
      <c r="P208" s="58"/>
      <c r="Q208" s="57"/>
      <c r="R208" s="59"/>
      <c r="S208" s="59" t="s">
        <v>763</v>
      </c>
      <c r="T208" s="102">
        <f>SUM(T185:T207)</f>
        <v>394408.91000000003</v>
      </c>
    </row>
    <row r="209" spans="1:20" ht="15.75" thickTop="1" x14ac:dyDescent="0.25">
      <c r="A209" s="62" t="s">
        <v>173</v>
      </c>
      <c r="B209" s="62"/>
      <c r="C209" s="62"/>
      <c r="D209" s="62"/>
      <c r="E209" s="103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103"/>
    </row>
    <row r="210" spans="1:20" s="13" customFormat="1" x14ac:dyDescent="0.25">
      <c r="A210" s="96">
        <v>1</v>
      </c>
      <c r="B210" s="43">
        <v>44109</v>
      </c>
      <c r="C210" s="42" t="s">
        <v>11</v>
      </c>
      <c r="D210" s="43">
        <v>44109</v>
      </c>
      <c r="E210" s="150"/>
      <c r="F210" s="44" t="s">
        <v>23</v>
      </c>
      <c r="G210" s="41" t="s">
        <v>676</v>
      </c>
      <c r="H210" s="66">
        <f>142+48</f>
        <v>190</v>
      </c>
      <c r="I210" s="66">
        <v>3</v>
      </c>
      <c r="J210" s="66">
        <f>+'INVENTARIO ENERO-MARZO 2021'!$H210-'INVENTARIO ENERO-MARZO 2021'!$I210</f>
        <v>187</v>
      </c>
      <c r="K210" s="66"/>
      <c r="L210" s="66"/>
      <c r="M210" s="66">
        <f>1+1+2+1+2</f>
        <v>7</v>
      </c>
      <c r="N210" s="66">
        <v>2</v>
      </c>
      <c r="O210" s="66">
        <f>+Tabla1[[#This Row],[STOCK    FISICO ENERO 2021]]-Tabla1[[#This Row],[REQUISICIONES FEBRERO 2021]]</f>
        <v>180</v>
      </c>
      <c r="P210" s="66">
        <f>+Tabla1[[#This Row],[STOCK  FEBRERO 2021]]-Tabla1[[#This Row],[REQUISICIONES MARZO 2021]]+Tabla1[[#This Row],[ENTRADAS MARZO 2021]]</f>
        <v>178</v>
      </c>
      <c r="Q210" s="41" t="s">
        <v>12</v>
      </c>
      <c r="R210" s="46">
        <v>91</v>
      </c>
      <c r="S210" s="36">
        <f t="shared" ref="S210:S219" si="7">+R210*0.18+R210</f>
        <v>107.38</v>
      </c>
      <c r="T210" s="100">
        <f>Tabla1[[#This Row],[STOCK MARZO ]]*Tabla1[[#This Row],[COSTO UNITARIO SIN ITBIS]]</f>
        <v>16198</v>
      </c>
    </row>
    <row r="211" spans="1:20" s="11" customFormat="1" x14ac:dyDescent="0.25">
      <c r="A211" s="96">
        <v>2</v>
      </c>
      <c r="B211" s="43">
        <v>44167</v>
      </c>
      <c r="C211" s="42" t="s">
        <v>11</v>
      </c>
      <c r="D211" s="43">
        <v>44159</v>
      </c>
      <c r="E211" s="150"/>
      <c r="F211" s="44"/>
      <c r="G211" s="41" t="s">
        <v>174</v>
      </c>
      <c r="H211" s="68">
        <v>30</v>
      </c>
      <c r="I211" s="68">
        <f>1+1+1</f>
        <v>3</v>
      </c>
      <c r="J211" s="68">
        <f>+'INVENTARIO ENERO-MARZO 2021'!$H211-'INVENTARIO ENERO-MARZO 2021'!$I211</f>
        <v>27</v>
      </c>
      <c r="K211" s="68"/>
      <c r="L211" s="68"/>
      <c r="M211" s="68">
        <f>1+1+1+2+1+1+1+1+1+1+1+1+1</f>
        <v>14</v>
      </c>
      <c r="N211" s="68">
        <f>1+1+1+1</f>
        <v>4</v>
      </c>
      <c r="O211" s="68">
        <f>+Tabla1[[#This Row],[STOCK    FISICO ENERO 2021]]-Tabla1[[#This Row],[REQUISICIONES FEBRERO 2021]]</f>
        <v>13</v>
      </c>
      <c r="P211" s="68">
        <f>+Tabla1[[#This Row],[STOCK  FEBRERO 2021]]-Tabla1[[#This Row],[REQUISICIONES MARZO 2021]]+Tabla1[[#This Row],[ENTRADAS MARZO 2021]]</f>
        <v>9</v>
      </c>
      <c r="Q211" s="41" t="s">
        <v>12</v>
      </c>
      <c r="R211" s="46">
        <v>459.61</v>
      </c>
      <c r="S211" s="36">
        <f t="shared" si="7"/>
        <v>542.33979999999997</v>
      </c>
      <c r="T211" s="100">
        <f>Tabla1[[#This Row],[STOCK MARZO ]]*Tabla1[[#This Row],[COSTO UNITARIO SIN ITBIS]]</f>
        <v>4136.49</v>
      </c>
    </row>
    <row r="212" spans="1:20" s="11" customFormat="1" x14ac:dyDescent="0.25">
      <c r="A212" s="96">
        <v>3</v>
      </c>
      <c r="B212" s="127"/>
      <c r="C212" s="128"/>
      <c r="D212" s="127"/>
      <c r="E212" s="149"/>
      <c r="F212" s="129"/>
      <c r="G212" s="33" t="s">
        <v>788</v>
      </c>
      <c r="H212" s="131"/>
      <c r="I212" s="131"/>
      <c r="J212" s="131">
        <f>+'INVENTARIO ENERO-MARZO 2021'!$H212-'INVENTARIO ENERO-MARZO 2021'!$I212+6+25</f>
        <v>31</v>
      </c>
      <c r="K212" s="131"/>
      <c r="L212" s="131"/>
      <c r="M212" s="131"/>
      <c r="N212" s="131">
        <f>10+1+5+3+1+1+3+3+2+2</f>
        <v>31</v>
      </c>
      <c r="O212" s="132">
        <f>+Tabla1[[#This Row],[STOCK    FISICO ENERO 2021]]-Tabla1[[#This Row],[REQUISICIONES FEBRERO 2021]]</f>
        <v>31</v>
      </c>
      <c r="P212" s="132">
        <f>+Tabla1[[#This Row],[STOCK  FEBRERO 2021]]-Tabla1[[#This Row],[REQUISICIONES MARZO 2021]]+Tabla1[[#This Row],[ENTRADAS MARZO 2021]]</f>
        <v>0</v>
      </c>
      <c r="Q212" s="41" t="s">
        <v>12</v>
      </c>
      <c r="R212" s="133"/>
      <c r="S212" s="134"/>
      <c r="T212" s="135">
        <f t="shared" ref="T212:T213" si="8">J212*R212</f>
        <v>0</v>
      </c>
    </row>
    <row r="213" spans="1:20" s="11" customFormat="1" x14ac:dyDescent="0.25">
      <c r="A213" s="96">
        <v>4</v>
      </c>
      <c r="B213" s="127"/>
      <c r="C213" s="128"/>
      <c r="D213" s="127"/>
      <c r="E213" s="149"/>
      <c r="F213" s="129"/>
      <c r="G213" s="130" t="s">
        <v>787</v>
      </c>
      <c r="H213" s="131"/>
      <c r="I213" s="131"/>
      <c r="J213" s="131">
        <f>+'INVENTARIO ENERO-MARZO 2021'!$H213-'INVENTARIO ENERO-MARZO 2021'!$I213+17+7</f>
        <v>24</v>
      </c>
      <c r="K213" s="131"/>
      <c r="L213" s="131"/>
      <c r="M213" s="131"/>
      <c r="N213" s="131">
        <f>1+3+3+6+3+3+2+3</f>
        <v>24</v>
      </c>
      <c r="O213" s="132">
        <f>+Tabla1[[#This Row],[STOCK    FISICO ENERO 2021]]-Tabla1[[#This Row],[REQUISICIONES FEBRERO 2021]]</f>
        <v>24</v>
      </c>
      <c r="P213" s="132">
        <f>+Tabla1[[#This Row],[STOCK  FEBRERO 2021]]-Tabla1[[#This Row],[REQUISICIONES MARZO 2021]]+Tabla1[[#This Row],[ENTRADAS MARZO 2021]]</f>
        <v>0</v>
      </c>
      <c r="Q213" s="41" t="s">
        <v>12</v>
      </c>
      <c r="R213" s="133"/>
      <c r="S213" s="134"/>
      <c r="T213" s="135">
        <f t="shared" si="8"/>
        <v>0</v>
      </c>
    </row>
    <row r="214" spans="1:20" s="9" customFormat="1" x14ac:dyDescent="0.25">
      <c r="A214" s="96">
        <v>5</v>
      </c>
      <c r="B214" s="43">
        <v>44137</v>
      </c>
      <c r="C214" s="42" t="s">
        <v>11</v>
      </c>
      <c r="D214" s="43">
        <v>44166</v>
      </c>
      <c r="E214" s="150"/>
      <c r="F214" s="44" t="s">
        <v>23</v>
      </c>
      <c r="G214" s="41" t="s">
        <v>175</v>
      </c>
      <c r="H214" s="68">
        <v>6</v>
      </c>
      <c r="I214" s="68"/>
      <c r="J214" s="68">
        <f>+'INVENTARIO ENERO-MARZO 2021'!$H214-'INVENTARIO ENERO-MARZO 2021'!$I214</f>
        <v>6</v>
      </c>
      <c r="K214" s="68"/>
      <c r="L214" s="68"/>
      <c r="M214" s="68">
        <v>2</v>
      </c>
      <c r="N214" s="68"/>
      <c r="O214" s="68">
        <f>+Tabla1[[#This Row],[STOCK    FISICO ENERO 2021]]-Tabla1[[#This Row],[REQUISICIONES FEBRERO 2021]]</f>
        <v>4</v>
      </c>
      <c r="P214" s="68">
        <f>+Tabla1[[#This Row],[STOCK  FEBRERO 2021]]-Tabla1[[#This Row],[REQUISICIONES MARZO 2021]]+Tabla1[[#This Row],[ENTRADAS MARZO 2021]]</f>
        <v>4</v>
      </c>
      <c r="Q214" s="41" t="s">
        <v>12</v>
      </c>
      <c r="R214" s="46">
        <v>1105</v>
      </c>
      <c r="S214" s="36">
        <f t="shared" si="7"/>
        <v>1303.9000000000001</v>
      </c>
      <c r="T214" s="100">
        <f>Tabla1[[#This Row],[STOCK MARZO ]]*Tabla1[[#This Row],[COSTO UNITARIO SIN ITBIS]]</f>
        <v>4420</v>
      </c>
    </row>
    <row r="215" spans="1:20" s="9" customFormat="1" x14ac:dyDescent="0.25">
      <c r="A215" s="96">
        <v>6</v>
      </c>
      <c r="B215" s="43">
        <v>43192</v>
      </c>
      <c r="C215" s="42" t="s">
        <v>11</v>
      </c>
      <c r="D215" s="43">
        <v>43192</v>
      </c>
      <c r="E215" s="150"/>
      <c r="F215" s="44"/>
      <c r="G215" s="41" t="s">
        <v>176</v>
      </c>
      <c r="H215" s="68">
        <v>0</v>
      </c>
      <c r="I215" s="68"/>
      <c r="J215" s="68">
        <f>+'INVENTARIO ENERO-MARZO 2021'!$H215-'INVENTARIO ENERO-MARZO 2021'!$I215</f>
        <v>0</v>
      </c>
      <c r="K215" s="68"/>
      <c r="L215" s="68"/>
      <c r="M215" s="68"/>
      <c r="N215" s="68"/>
      <c r="O215" s="68">
        <f>+Tabla1[[#This Row],[STOCK    FISICO ENERO 2021]]-Tabla1[[#This Row],[REQUISICIONES FEBRERO 2021]]</f>
        <v>0</v>
      </c>
      <c r="P215" s="68">
        <f>+Tabla1[[#This Row],[STOCK  FEBRERO 2021]]-Tabla1[[#This Row],[REQUISICIONES MARZO 2021]]+Tabla1[[#This Row],[ENTRADAS MARZO 2021]]</f>
        <v>0</v>
      </c>
      <c r="Q215" s="41" t="s">
        <v>12</v>
      </c>
      <c r="R215" s="46">
        <v>309.63</v>
      </c>
      <c r="S215" s="36">
        <f t="shared" si="7"/>
        <v>365.36340000000001</v>
      </c>
      <c r="T215" s="100">
        <f>Tabla1[[#This Row],[STOCK MARZO ]]*Tabla1[[#This Row],[COSTO UNITARIO SIN ITBIS]]</f>
        <v>0</v>
      </c>
    </row>
    <row r="216" spans="1:20" s="9" customFormat="1" x14ac:dyDescent="0.25">
      <c r="A216" s="96">
        <v>7</v>
      </c>
      <c r="B216" s="43">
        <v>37535</v>
      </c>
      <c r="C216" s="42" t="s">
        <v>11</v>
      </c>
      <c r="D216" s="43">
        <v>44110</v>
      </c>
      <c r="E216" s="150"/>
      <c r="F216" s="44">
        <v>1014</v>
      </c>
      <c r="G216" s="41" t="s">
        <v>178</v>
      </c>
      <c r="H216" s="68">
        <v>4</v>
      </c>
      <c r="I216" s="68">
        <v>1</v>
      </c>
      <c r="J216" s="68">
        <f>+'INVENTARIO ENERO-MARZO 2021'!$H216-'INVENTARIO ENERO-MARZO 2021'!$I216</f>
        <v>3</v>
      </c>
      <c r="K216" s="68"/>
      <c r="L216" s="68"/>
      <c r="M216" s="68"/>
      <c r="N216" s="68"/>
      <c r="O216" s="68">
        <f>+Tabla1[[#This Row],[STOCK    FISICO ENERO 2021]]-Tabla1[[#This Row],[REQUISICIONES FEBRERO 2021]]</f>
        <v>3</v>
      </c>
      <c r="P216" s="68">
        <f>+Tabla1[[#This Row],[STOCK  FEBRERO 2021]]-Tabla1[[#This Row],[REQUISICIONES MARZO 2021]]+Tabla1[[#This Row],[ENTRADAS MARZO 2021]]</f>
        <v>3</v>
      </c>
      <c r="Q216" s="41" t="s">
        <v>12</v>
      </c>
      <c r="R216" s="46">
        <v>70.7</v>
      </c>
      <c r="S216" s="36">
        <f t="shared" si="7"/>
        <v>83.426000000000002</v>
      </c>
      <c r="T216" s="100">
        <f>Tabla1[[#This Row],[STOCK MARZO ]]*Tabla1[[#This Row],[COSTO UNITARIO SIN ITBIS]]</f>
        <v>212.10000000000002</v>
      </c>
    </row>
    <row r="217" spans="1:20" s="9" customFormat="1" x14ac:dyDescent="0.25">
      <c r="A217" s="96">
        <v>8</v>
      </c>
      <c r="B217" s="43"/>
      <c r="C217" s="42" t="s">
        <v>11</v>
      </c>
      <c r="D217" s="43"/>
      <c r="E217" s="150"/>
      <c r="F217" s="44"/>
      <c r="G217" s="41" t="s">
        <v>684</v>
      </c>
      <c r="H217" s="68">
        <v>21</v>
      </c>
      <c r="I217" s="68">
        <f>1+3+1</f>
        <v>5</v>
      </c>
      <c r="J217" s="68">
        <f>+'INVENTARIO ENERO-MARZO 2021'!$H217-'INVENTARIO ENERO-MARZO 2021'!$I217+5</f>
        <v>21</v>
      </c>
      <c r="K217" s="68"/>
      <c r="L217" s="68"/>
      <c r="M217" s="68">
        <f>1+4+4</f>
        <v>9</v>
      </c>
      <c r="N217" s="68">
        <v>1</v>
      </c>
      <c r="O217" s="68">
        <f>+Tabla1[[#This Row],[STOCK    FISICO ENERO 2021]]-Tabla1[[#This Row],[REQUISICIONES FEBRERO 2021]]</f>
        <v>12</v>
      </c>
      <c r="P217" s="68">
        <f>+Tabla1[[#This Row],[STOCK  FEBRERO 2021]]-Tabla1[[#This Row],[REQUISICIONES MARZO 2021]]+Tabla1[[#This Row],[ENTRADAS MARZO 2021]]</f>
        <v>11</v>
      </c>
      <c r="Q217" s="41" t="s">
        <v>12</v>
      </c>
      <c r="R217" s="46">
        <v>82</v>
      </c>
      <c r="S217" s="36">
        <f t="shared" si="7"/>
        <v>96.76</v>
      </c>
      <c r="T217" s="100">
        <f>Tabla1[[#This Row],[STOCK MARZO ]]*Tabla1[[#This Row],[COSTO UNITARIO SIN ITBIS]]</f>
        <v>902</v>
      </c>
    </row>
    <row r="218" spans="1:20" s="9" customFormat="1" x14ac:dyDescent="0.25">
      <c r="A218" s="96">
        <v>9</v>
      </c>
      <c r="B218" s="43">
        <v>44119</v>
      </c>
      <c r="C218" s="42" t="s">
        <v>11</v>
      </c>
      <c r="D218" s="43">
        <v>44119</v>
      </c>
      <c r="E218" s="150"/>
      <c r="F218" s="44" t="s">
        <v>23</v>
      </c>
      <c r="G218" s="41" t="s">
        <v>179</v>
      </c>
      <c r="H218" s="68">
        <v>9</v>
      </c>
      <c r="I218" s="68"/>
      <c r="J218" s="68">
        <f>+'INVENTARIO ENERO-MARZO 2021'!$H218-'INVENTARIO ENERO-MARZO 2021'!$I218</f>
        <v>9</v>
      </c>
      <c r="K218" s="68"/>
      <c r="L218" s="68"/>
      <c r="M218" s="68"/>
      <c r="N218" s="68"/>
      <c r="O218" s="68">
        <f>+Tabla1[[#This Row],[STOCK    FISICO ENERO 2021]]-Tabla1[[#This Row],[REQUISICIONES FEBRERO 2021]]</f>
        <v>9</v>
      </c>
      <c r="P218" s="68">
        <f>+Tabla1[[#This Row],[STOCK  FEBRERO 2021]]-Tabla1[[#This Row],[REQUISICIONES MARZO 2021]]+Tabla1[[#This Row],[ENTRADAS MARZO 2021]]</f>
        <v>9</v>
      </c>
      <c r="Q218" s="41" t="s">
        <v>12</v>
      </c>
      <c r="R218" s="46">
        <v>1813.5</v>
      </c>
      <c r="S218" s="36">
        <f t="shared" si="7"/>
        <v>2139.9299999999998</v>
      </c>
      <c r="T218" s="100">
        <f>Tabla1[[#This Row],[STOCK MARZO ]]*Tabla1[[#This Row],[COSTO UNITARIO SIN ITBIS]]</f>
        <v>16321.5</v>
      </c>
    </row>
    <row r="219" spans="1:20" s="9" customFormat="1" x14ac:dyDescent="0.25">
      <c r="A219" s="96">
        <v>10</v>
      </c>
      <c r="B219" s="43">
        <v>44168</v>
      </c>
      <c r="C219" s="42" t="s">
        <v>11</v>
      </c>
      <c r="D219" s="43"/>
      <c r="E219" s="150"/>
      <c r="F219" s="44">
        <v>1030</v>
      </c>
      <c r="G219" s="41" t="s">
        <v>180</v>
      </c>
      <c r="H219" s="66">
        <v>114</v>
      </c>
      <c r="I219" s="66">
        <f>5+2</f>
        <v>7</v>
      </c>
      <c r="J219" s="66">
        <f>+'INVENTARIO ENERO-MARZO 2021'!$H219-'INVENTARIO ENERO-MARZO 2021'!$I219</f>
        <v>107</v>
      </c>
      <c r="K219" s="66"/>
      <c r="L219" s="66"/>
      <c r="M219" s="66">
        <f>8+10+1+1+1+10</f>
        <v>31</v>
      </c>
      <c r="N219" s="66">
        <f>10+10+10</f>
        <v>30</v>
      </c>
      <c r="O219" s="66">
        <f>+Tabla1[[#This Row],[STOCK    FISICO ENERO 2021]]-Tabla1[[#This Row],[REQUISICIONES FEBRERO 2021]]</f>
        <v>76</v>
      </c>
      <c r="P219" s="66">
        <f>+Tabla1[[#This Row],[STOCK  FEBRERO 2021]]-Tabla1[[#This Row],[REQUISICIONES MARZO 2021]]+Tabla1[[#This Row],[ENTRADAS MARZO 2021]]</f>
        <v>46</v>
      </c>
      <c r="Q219" s="41" t="s">
        <v>12</v>
      </c>
      <c r="R219" s="46">
        <v>13.52</v>
      </c>
      <c r="S219" s="36">
        <f t="shared" si="7"/>
        <v>15.9536</v>
      </c>
      <c r="T219" s="100">
        <f>Tabla1[[#This Row],[STOCK MARZO ]]*Tabla1[[#This Row],[COSTO UNITARIO SIN ITBIS]]</f>
        <v>621.91999999999996</v>
      </c>
    </row>
    <row r="220" spans="1:20" s="9" customFormat="1" x14ac:dyDescent="0.25">
      <c r="A220" s="96">
        <v>11</v>
      </c>
      <c r="B220" s="43">
        <v>43636</v>
      </c>
      <c r="C220" s="42" t="s">
        <v>11</v>
      </c>
      <c r="D220" s="43">
        <v>43633</v>
      </c>
      <c r="E220" s="150"/>
      <c r="F220" s="44">
        <v>1467</v>
      </c>
      <c r="G220" s="41" t="s">
        <v>181</v>
      </c>
      <c r="H220" s="66">
        <v>1</v>
      </c>
      <c r="I220" s="66"/>
      <c r="J220" s="66">
        <f>+'INVENTARIO ENERO-MARZO 2021'!$H220-'INVENTARIO ENERO-MARZO 2021'!$I220</f>
        <v>1</v>
      </c>
      <c r="K220" s="66"/>
      <c r="L220" s="66"/>
      <c r="M220" s="66"/>
      <c r="N220" s="66"/>
      <c r="O220" s="66">
        <f>+Tabla1[[#This Row],[STOCK    FISICO ENERO 2021]]-Tabla1[[#This Row],[REQUISICIONES FEBRERO 2021]]</f>
        <v>1</v>
      </c>
      <c r="P220" s="66">
        <f>+Tabla1[[#This Row],[STOCK  FEBRERO 2021]]-Tabla1[[#This Row],[REQUISICIONES MARZO 2021]]+Tabla1[[#This Row],[ENTRADAS MARZO 2021]]</f>
        <v>1</v>
      </c>
      <c r="Q220" s="41" t="s">
        <v>12</v>
      </c>
      <c r="R220" s="46">
        <v>53.31</v>
      </c>
      <c r="S220" s="36">
        <f>+R220*0.18+R220</f>
        <v>62.905799999999999</v>
      </c>
      <c r="T220" s="100">
        <f>Tabla1[[#This Row],[STOCK MARZO ]]*Tabla1[[#This Row],[COSTO UNITARIO SIN ITBIS]]</f>
        <v>53.31</v>
      </c>
    </row>
    <row r="221" spans="1:20" s="9" customFormat="1" x14ac:dyDescent="0.25">
      <c r="A221" s="96">
        <v>12</v>
      </c>
      <c r="B221" s="120"/>
      <c r="C221" s="42" t="s">
        <v>11</v>
      </c>
      <c r="D221" s="120"/>
      <c r="E221" s="153"/>
      <c r="F221" s="121"/>
      <c r="G221" s="122" t="s">
        <v>776</v>
      </c>
      <c r="H221" s="123"/>
      <c r="I221" s="123"/>
      <c r="J221" s="123">
        <f>+'INVENTARIO ENERO-MARZO 2021'!$H221-'INVENTARIO ENERO-MARZO 2021'!$I221+7</f>
        <v>7</v>
      </c>
      <c r="K221" s="123"/>
      <c r="L221" s="123"/>
      <c r="M221" s="123">
        <v>1</v>
      </c>
      <c r="N221" s="123">
        <v>1</v>
      </c>
      <c r="O221" s="124">
        <f>+Tabla1[[#This Row],[STOCK    FISICO ENERO 2021]]-Tabla1[[#This Row],[REQUISICIONES FEBRERO 2021]]</f>
        <v>6</v>
      </c>
      <c r="P221" s="124">
        <f>+Tabla1[[#This Row],[STOCK  FEBRERO 2021]]-Tabla1[[#This Row],[REQUISICIONES MARZO 2021]]+Tabla1[[#This Row],[ENTRADAS MARZO 2021]]</f>
        <v>5</v>
      </c>
      <c r="Q221" s="41" t="s">
        <v>12</v>
      </c>
      <c r="R221" s="46">
        <v>0</v>
      </c>
      <c r="S221" s="36">
        <f t="shared" ref="S221:S222" si="9">+R221*0.18+R221</f>
        <v>0</v>
      </c>
      <c r="T221" s="100">
        <f>Tabla1[[#This Row],[STOCK MARZO ]]*Tabla1[[#This Row],[COSTO UNITARIO SIN ITBIS]]</f>
        <v>0</v>
      </c>
    </row>
    <row r="222" spans="1:20" s="9" customFormat="1" x14ac:dyDescent="0.25">
      <c r="A222" s="96">
        <v>13</v>
      </c>
      <c r="B222" s="127">
        <v>44286</v>
      </c>
      <c r="C222" s="42" t="s">
        <v>11</v>
      </c>
      <c r="D222" s="127">
        <v>44286</v>
      </c>
      <c r="E222" s="149" t="s">
        <v>814</v>
      </c>
      <c r="F222" s="129"/>
      <c r="G222" s="130" t="s">
        <v>823</v>
      </c>
      <c r="H222" s="131"/>
      <c r="I222" s="131"/>
      <c r="J222" s="131">
        <f>+'INVENTARIO ENERO-MARZO 2021'!$H222-'INVENTARIO ENERO-MARZO 2021'!$I222</f>
        <v>0</v>
      </c>
      <c r="K222" s="131"/>
      <c r="L222" s="131">
        <v>12</v>
      </c>
      <c r="M222" s="131"/>
      <c r="N222" s="131"/>
      <c r="O222" s="132">
        <f>+Tabla1[[#This Row],[STOCK    FISICO ENERO 2021]]-Tabla1[[#This Row],[REQUISICIONES FEBRERO 2021]]</f>
        <v>0</v>
      </c>
      <c r="P222" s="132">
        <f>+Tabla1[[#This Row],[STOCK  FEBRERO 2021]]-Tabla1[[#This Row],[REQUISICIONES MARZO 2021]]+Tabla1[[#This Row],[ENTRADAS MARZO 2021]]</f>
        <v>12</v>
      </c>
      <c r="Q222" s="41" t="s">
        <v>12</v>
      </c>
      <c r="R222" s="133">
        <v>600</v>
      </c>
      <c r="S222" s="100">
        <f t="shared" si="9"/>
        <v>708</v>
      </c>
      <c r="T222" s="100">
        <f>Tabla1[[#This Row],[STOCK MARZO ]]*Tabla1[[#This Row],[COSTO UNITARIO SIN ITBIS]]</f>
        <v>7200</v>
      </c>
    </row>
    <row r="223" spans="1:20" s="9" customFormat="1" x14ac:dyDescent="0.25">
      <c r="A223" s="96">
        <v>14</v>
      </c>
      <c r="B223" s="43">
        <v>43636</v>
      </c>
      <c r="C223" s="42" t="s">
        <v>11</v>
      </c>
      <c r="D223" s="43">
        <v>43633</v>
      </c>
      <c r="E223" s="150"/>
      <c r="F223" s="44">
        <v>1465</v>
      </c>
      <c r="G223" s="41" t="s">
        <v>183</v>
      </c>
      <c r="H223" s="66">
        <v>0</v>
      </c>
      <c r="I223" s="66"/>
      <c r="J223" s="66">
        <f>+'INVENTARIO ENERO-MARZO 2021'!$H223-'INVENTARIO ENERO-MARZO 2021'!$I223</f>
        <v>0</v>
      </c>
      <c r="K223" s="66"/>
      <c r="L223" s="66"/>
      <c r="M223" s="66"/>
      <c r="N223" s="66"/>
      <c r="O223" s="66">
        <f>+Tabla1[[#This Row],[STOCK    FISICO ENERO 2021]]-Tabla1[[#This Row],[REQUISICIONES FEBRERO 2021]]</f>
        <v>0</v>
      </c>
      <c r="P223" s="66">
        <f>+Tabla1[[#This Row],[STOCK  FEBRERO 2021]]-Tabla1[[#This Row],[REQUISICIONES MARZO 2021]]+Tabla1[[#This Row],[ENTRADAS MARZO 2021]]</f>
        <v>0</v>
      </c>
      <c r="Q223" s="41" t="s">
        <v>12</v>
      </c>
      <c r="R223" s="46">
        <v>6962</v>
      </c>
      <c r="S223" s="36">
        <f t="shared" ref="S223:S270" si="10">+R223*0.18+R223</f>
        <v>8215.16</v>
      </c>
      <c r="T223" s="100">
        <f>Tabla1[[#This Row],[STOCK MARZO ]]*Tabla1[[#This Row],[COSTO UNITARIO SIN ITBIS]]</f>
        <v>0</v>
      </c>
    </row>
    <row r="224" spans="1:20" s="9" customFormat="1" x14ac:dyDescent="0.25">
      <c r="A224" s="96">
        <v>15</v>
      </c>
      <c r="B224" s="43">
        <v>43636</v>
      </c>
      <c r="C224" s="42" t="s">
        <v>11</v>
      </c>
      <c r="D224" s="43">
        <v>43633</v>
      </c>
      <c r="E224" s="150"/>
      <c r="F224" s="44">
        <v>1070</v>
      </c>
      <c r="G224" s="41" t="s">
        <v>184</v>
      </c>
      <c r="H224" s="66">
        <v>20</v>
      </c>
      <c r="I224" s="66"/>
      <c r="J224" s="66">
        <f>+'INVENTARIO ENERO-MARZO 2021'!$H224-'INVENTARIO ENERO-MARZO 2021'!$I224</f>
        <v>20</v>
      </c>
      <c r="K224" s="66"/>
      <c r="L224" s="66"/>
      <c r="M224" s="66">
        <f>1+1</f>
        <v>2</v>
      </c>
      <c r="N224" s="66">
        <f>1+1+1</f>
        <v>3</v>
      </c>
      <c r="O224" s="66">
        <f>+Tabla1[[#This Row],[STOCK    FISICO ENERO 2021]]-Tabla1[[#This Row],[REQUISICIONES FEBRERO 2021]]</f>
        <v>18</v>
      </c>
      <c r="P224" s="66">
        <f>+Tabla1[[#This Row],[STOCK  FEBRERO 2021]]-Tabla1[[#This Row],[REQUISICIONES MARZO 2021]]+Tabla1[[#This Row],[ENTRADAS MARZO 2021]]</f>
        <v>15</v>
      </c>
      <c r="Q224" s="41" t="s">
        <v>185</v>
      </c>
      <c r="R224" s="46">
        <v>159.30000000000001</v>
      </c>
      <c r="S224" s="36">
        <f t="shared" si="10"/>
        <v>187.97400000000002</v>
      </c>
      <c r="T224" s="100">
        <f>Tabla1[[#This Row],[STOCK MARZO ]]*Tabla1[[#This Row],[COSTO UNITARIO SIN ITBIS]]</f>
        <v>2389.5</v>
      </c>
    </row>
    <row r="225" spans="1:20" s="13" customFormat="1" x14ac:dyDescent="0.25">
      <c r="A225" s="96">
        <v>16</v>
      </c>
      <c r="B225" s="43">
        <v>43636</v>
      </c>
      <c r="C225" s="42" t="s">
        <v>11</v>
      </c>
      <c r="D225" s="43">
        <v>43633</v>
      </c>
      <c r="E225" s="150"/>
      <c r="F225" s="44" t="s">
        <v>23</v>
      </c>
      <c r="G225" s="41" t="s">
        <v>186</v>
      </c>
      <c r="H225" s="66">
        <v>43</v>
      </c>
      <c r="I225" s="66"/>
      <c r="J225" s="66">
        <f>+'INVENTARIO ENERO-MARZO 2021'!$H225-'INVENTARIO ENERO-MARZO 2021'!$I225</f>
        <v>43</v>
      </c>
      <c r="K225" s="66"/>
      <c r="L225" s="66"/>
      <c r="M225" s="66"/>
      <c r="N225" s="66"/>
      <c r="O225" s="66">
        <f>+Tabla1[[#This Row],[STOCK    FISICO ENERO 2021]]-Tabla1[[#This Row],[REQUISICIONES FEBRERO 2021]]</f>
        <v>43</v>
      </c>
      <c r="P225" s="66">
        <f>+Tabla1[[#This Row],[STOCK  FEBRERO 2021]]-Tabla1[[#This Row],[REQUISICIONES MARZO 2021]]+Tabla1[[#This Row],[ENTRADAS MARZO 2021]]</f>
        <v>43</v>
      </c>
      <c r="Q225" s="41" t="s">
        <v>134</v>
      </c>
      <c r="R225" s="46">
        <v>67.599999999999994</v>
      </c>
      <c r="S225" s="36">
        <f t="shared" si="10"/>
        <v>79.768000000000001</v>
      </c>
      <c r="T225" s="100">
        <f>Tabla1[[#This Row],[STOCK MARZO ]]*Tabla1[[#This Row],[COSTO UNITARIO SIN ITBIS]]</f>
        <v>2906.7999999999997</v>
      </c>
    </row>
    <row r="226" spans="1:20" s="9" customFormat="1" x14ac:dyDescent="0.25">
      <c r="A226" s="96">
        <v>17</v>
      </c>
      <c r="B226" s="43">
        <v>43636</v>
      </c>
      <c r="C226" s="42" t="s">
        <v>11</v>
      </c>
      <c r="D226" s="43">
        <v>43633</v>
      </c>
      <c r="E226" s="150"/>
      <c r="F226" s="44">
        <v>1072</v>
      </c>
      <c r="G226" s="41" t="s">
        <v>187</v>
      </c>
      <c r="H226" s="66">
        <f>76+39+2</f>
        <v>117</v>
      </c>
      <c r="I226" s="66">
        <f>2+3</f>
        <v>5</v>
      </c>
      <c r="J226" s="66">
        <f>+'INVENTARIO ENERO-MARZO 2021'!$H226-'INVENTARIO ENERO-MARZO 2021'!$I226</f>
        <v>112</v>
      </c>
      <c r="K226" s="66"/>
      <c r="L226" s="66"/>
      <c r="M226" s="66">
        <f>1+1+2+1+2+2+2+3+3+2+2+2+3+1+1+2+2+4</f>
        <v>36</v>
      </c>
      <c r="N226" s="66">
        <f>2+1+2+3+2+2+2+2+2</f>
        <v>18</v>
      </c>
      <c r="O226" s="66">
        <f>+Tabla1[[#This Row],[STOCK    FISICO ENERO 2021]]-Tabla1[[#This Row],[REQUISICIONES FEBRERO 2021]]</f>
        <v>76</v>
      </c>
      <c r="P226" s="66">
        <f>+Tabla1[[#This Row],[STOCK  FEBRERO 2021]]-Tabla1[[#This Row],[REQUISICIONES MARZO 2021]]+Tabla1[[#This Row],[ENTRADAS MARZO 2021]]</f>
        <v>58</v>
      </c>
      <c r="Q226" s="41" t="s">
        <v>185</v>
      </c>
      <c r="R226" s="46">
        <v>129.80000000000001</v>
      </c>
      <c r="S226" s="36">
        <f t="shared" si="10"/>
        <v>153.16400000000002</v>
      </c>
      <c r="T226" s="100">
        <f>Tabla1[[#This Row],[STOCK MARZO ]]*Tabla1[[#This Row],[COSTO UNITARIO SIN ITBIS]]</f>
        <v>7528.4000000000005</v>
      </c>
    </row>
    <row r="227" spans="1:20" s="9" customFormat="1" x14ac:dyDescent="0.25">
      <c r="A227" s="96">
        <v>18</v>
      </c>
      <c r="B227" s="43">
        <v>43636</v>
      </c>
      <c r="C227" s="42" t="s">
        <v>11</v>
      </c>
      <c r="D227" s="43">
        <v>43633</v>
      </c>
      <c r="E227" s="150"/>
      <c r="F227" s="44"/>
      <c r="G227" s="41" t="s">
        <v>188</v>
      </c>
      <c r="H227" s="68">
        <v>64</v>
      </c>
      <c r="I227" s="68">
        <v>2</v>
      </c>
      <c r="J227" s="68">
        <f>+'INVENTARIO ENERO-MARZO 2021'!$H227-'INVENTARIO ENERO-MARZO 2021'!$I227</f>
        <v>62</v>
      </c>
      <c r="K227" s="68"/>
      <c r="L227" s="68"/>
      <c r="M227" s="68"/>
      <c r="N227" s="68"/>
      <c r="O227" s="68">
        <f>+Tabla1[[#This Row],[STOCK    FISICO ENERO 2021]]-Tabla1[[#This Row],[REQUISICIONES FEBRERO 2021]]</f>
        <v>62</v>
      </c>
      <c r="P227" s="68">
        <f>+Tabla1[[#This Row],[STOCK  FEBRERO 2021]]-Tabla1[[#This Row],[REQUISICIONES MARZO 2021]]+Tabla1[[#This Row],[ENTRADAS MARZO 2021]]</f>
        <v>62</v>
      </c>
      <c r="Q227" s="41" t="s">
        <v>12</v>
      </c>
      <c r="R227" s="46">
        <v>487.5</v>
      </c>
      <c r="S227" s="36">
        <f t="shared" si="10"/>
        <v>575.25</v>
      </c>
      <c r="T227" s="100">
        <f>Tabla1[[#This Row],[STOCK MARZO ]]*Tabla1[[#This Row],[COSTO UNITARIO SIN ITBIS]]</f>
        <v>30225</v>
      </c>
    </row>
    <row r="228" spans="1:20" s="9" customFormat="1" x14ac:dyDescent="0.25">
      <c r="A228" s="96">
        <v>19</v>
      </c>
      <c r="B228" s="43">
        <v>44167</v>
      </c>
      <c r="C228" s="42" t="s">
        <v>11</v>
      </c>
      <c r="D228" s="43">
        <v>44189</v>
      </c>
      <c r="E228" s="150"/>
      <c r="F228" s="44">
        <v>1276</v>
      </c>
      <c r="G228" s="41" t="s">
        <v>189</v>
      </c>
      <c r="H228" s="66">
        <v>81</v>
      </c>
      <c r="I228" s="66">
        <v>3</v>
      </c>
      <c r="J228" s="66">
        <f>+'INVENTARIO ENERO-MARZO 2021'!$H228-'INVENTARIO ENERO-MARZO 2021'!$I228</f>
        <v>78</v>
      </c>
      <c r="K228" s="66"/>
      <c r="L228" s="66"/>
      <c r="M228" s="66"/>
      <c r="N228" s="66">
        <f>2+1+10</f>
        <v>13</v>
      </c>
      <c r="O228" s="66">
        <f>+Tabla1[[#This Row],[STOCK    FISICO ENERO 2021]]-Tabla1[[#This Row],[REQUISICIONES FEBRERO 2021]]</f>
        <v>78</v>
      </c>
      <c r="P228" s="66">
        <f>+Tabla1[[#This Row],[STOCK  FEBRERO 2021]]-Tabla1[[#This Row],[REQUISICIONES MARZO 2021]]+Tabla1[[#This Row],[ENTRADAS MARZO 2021]]</f>
        <v>65</v>
      </c>
      <c r="Q228" s="41" t="s">
        <v>12</v>
      </c>
      <c r="R228" s="46">
        <v>1062</v>
      </c>
      <c r="S228" s="36">
        <f t="shared" si="10"/>
        <v>1253.1600000000001</v>
      </c>
      <c r="T228" s="100">
        <f>Tabla1[[#This Row],[STOCK MARZO ]]*Tabla1[[#This Row],[COSTO UNITARIO SIN ITBIS]]</f>
        <v>69030</v>
      </c>
    </row>
    <row r="229" spans="1:20" s="9" customFormat="1" x14ac:dyDescent="0.25">
      <c r="A229" s="96">
        <v>20</v>
      </c>
      <c r="B229" s="43">
        <v>44167</v>
      </c>
      <c r="C229" s="42" t="s">
        <v>11</v>
      </c>
      <c r="D229" s="43">
        <v>44159</v>
      </c>
      <c r="E229" s="150"/>
      <c r="F229" s="44">
        <v>1277</v>
      </c>
      <c r="G229" s="41" t="s">
        <v>190</v>
      </c>
      <c r="H229" s="66">
        <v>12</v>
      </c>
      <c r="I229" s="66"/>
      <c r="J229" s="66">
        <f>+'INVENTARIO ENERO-MARZO 2021'!$H229-'INVENTARIO ENERO-MARZO 2021'!$I229</f>
        <v>12</v>
      </c>
      <c r="K229" s="66"/>
      <c r="L229" s="66"/>
      <c r="M229" s="66"/>
      <c r="N229" s="66"/>
      <c r="O229" s="66">
        <f>+Tabla1[[#This Row],[STOCK    FISICO ENERO 2021]]-Tabla1[[#This Row],[REQUISICIONES FEBRERO 2021]]</f>
        <v>12</v>
      </c>
      <c r="P229" s="66">
        <f>+Tabla1[[#This Row],[STOCK  FEBRERO 2021]]-Tabla1[[#This Row],[REQUISICIONES MARZO 2021]]+Tabla1[[#This Row],[ENTRADAS MARZO 2021]]</f>
        <v>12</v>
      </c>
      <c r="Q229" s="41" t="s">
        <v>12</v>
      </c>
      <c r="R229" s="46">
        <v>825</v>
      </c>
      <c r="S229" s="36">
        <f t="shared" si="10"/>
        <v>973.5</v>
      </c>
      <c r="T229" s="100">
        <f>Tabla1[[#This Row],[STOCK MARZO ]]*Tabla1[[#This Row],[COSTO UNITARIO SIN ITBIS]]</f>
        <v>9900</v>
      </c>
    </row>
    <row r="230" spans="1:20" s="9" customFormat="1" x14ac:dyDescent="0.25">
      <c r="A230" s="96">
        <v>21</v>
      </c>
      <c r="B230" s="43">
        <v>43636</v>
      </c>
      <c r="C230" s="42" t="s">
        <v>11</v>
      </c>
      <c r="D230" s="43">
        <v>43633</v>
      </c>
      <c r="E230" s="150"/>
      <c r="F230" s="44" t="s">
        <v>23</v>
      </c>
      <c r="G230" s="41" t="s">
        <v>191</v>
      </c>
      <c r="H230" s="66">
        <f>13+12</f>
        <v>25</v>
      </c>
      <c r="I230" s="66"/>
      <c r="J230" s="66">
        <f>+'INVENTARIO ENERO-MARZO 2021'!$H230-'INVENTARIO ENERO-MARZO 2021'!$I230</f>
        <v>25</v>
      </c>
      <c r="K230" s="66"/>
      <c r="L230" s="66"/>
      <c r="M230" s="66">
        <v>1</v>
      </c>
      <c r="N230" s="66">
        <f>1+2</f>
        <v>3</v>
      </c>
      <c r="O230" s="66">
        <f>+Tabla1[[#This Row],[STOCK    FISICO ENERO 2021]]-Tabla1[[#This Row],[REQUISICIONES FEBRERO 2021]]</f>
        <v>24</v>
      </c>
      <c r="P230" s="66">
        <f>+Tabla1[[#This Row],[STOCK  FEBRERO 2021]]-Tabla1[[#This Row],[REQUISICIONES MARZO 2021]]+Tabla1[[#This Row],[ENTRADAS MARZO 2021]]</f>
        <v>21</v>
      </c>
      <c r="Q230" s="41" t="s">
        <v>12</v>
      </c>
      <c r="R230" s="46">
        <v>900</v>
      </c>
      <c r="S230" s="36">
        <f t="shared" si="10"/>
        <v>1062</v>
      </c>
      <c r="T230" s="100">
        <f>Tabla1[[#This Row],[STOCK MARZO ]]*Tabla1[[#This Row],[COSTO UNITARIO SIN ITBIS]]</f>
        <v>18900</v>
      </c>
    </row>
    <row r="231" spans="1:20" s="9" customFormat="1" x14ac:dyDescent="0.25">
      <c r="A231" s="96">
        <v>22</v>
      </c>
      <c r="B231" s="43">
        <v>43636</v>
      </c>
      <c r="C231" s="42" t="s">
        <v>11</v>
      </c>
      <c r="D231" s="43">
        <v>43633</v>
      </c>
      <c r="E231" s="150"/>
      <c r="F231" s="44"/>
      <c r="G231" s="41" t="s">
        <v>192</v>
      </c>
      <c r="H231" s="68">
        <v>21</v>
      </c>
      <c r="I231" s="68"/>
      <c r="J231" s="68">
        <f>+'INVENTARIO ENERO-MARZO 2021'!$H231-'INVENTARIO ENERO-MARZO 2021'!$I231</f>
        <v>21</v>
      </c>
      <c r="K231" s="68"/>
      <c r="L231" s="68"/>
      <c r="M231" s="68"/>
      <c r="N231" s="68"/>
      <c r="O231" s="68">
        <f>+Tabla1[[#This Row],[STOCK    FISICO ENERO 2021]]-Tabla1[[#This Row],[REQUISICIONES FEBRERO 2021]]</f>
        <v>21</v>
      </c>
      <c r="P231" s="68">
        <f>+Tabla1[[#This Row],[STOCK  FEBRERO 2021]]-Tabla1[[#This Row],[REQUISICIONES MARZO 2021]]+Tabla1[[#This Row],[ENTRADAS MARZO 2021]]</f>
        <v>21</v>
      </c>
      <c r="Q231" s="41" t="s">
        <v>12</v>
      </c>
      <c r="R231" s="46">
        <v>81.760000000000005</v>
      </c>
      <c r="S231" s="36">
        <f t="shared" si="10"/>
        <v>96.476800000000011</v>
      </c>
      <c r="T231" s="100">
        <f>Tabla1[[#This Row],[STOCK MARZO ]]*Tabla1[[#This Row],[COSTO UNITARIO SIN ITBIS]]</f>
        <v>1716.96</v>
      </c>
    </row>
    <row r="232" spans="1:20" s="9" customFormat="1" x14ac:dyDescent="0.25">
      <c r="A232" s="96">
        <v>23</v>
      </c>
      <c r="B232" s="43">
        <v>44109</v>
      </c>
      <c r="C232" s="42" t="s">
        <v>11</v>
      </c>
      <c r="D232" s="43">
        <v>44109</v>
      </c>
      <c r="E232" s="150"/>
      <c r="F232" s="44">
        <v>1823</v>
      </c>
      <c r="G232" s="41" t="s">
        <v>193</v>
      </c>
      <c r="H232" s="66">
        <v>16</v>
      </c>
      <c r="I232" s="66"/>
      <c r="J232" s="66">
        <f>+'INVENTARIO ENERO-MARZO 2021'!$H232-'INVENTARIO ENERO-MARZO 2021'!$I232</f>
        <v>16</v>
      </c>
      <c r="K232" s="66"/>
      <c r="L232" s="66"/>
      <c r="M232" s="66"/>
      <c r="N232" s="66"/>
      <c r="O232" s="66">
        <f>+Tabla1[[#This Row],[STOCK    FISICO ENERO 2021]]-Tabla1[[#This Row],[REQUISICIONES FEBRERO 2021]]</f>
        <v>16</v>
      </c>
      <c r="P232" s="66">
        <f>+Tabla1[[#This Row],[STOCK  FEBRERO 2021]]-Tabla1[[#This Row],[REQUISICIONES MARZO 2021]]+Tabla1[[#This Row],[ENTRADAS MARZO 2021]]</f>
        <v>16</v>
      </c>
      <c r="Q232" s="41" t="s">
        <v>112</v>
      </c>
      <c r="R232" s="46">
        <v>0</v>
      </c>
      <c r="S232" s="36">
        <f t="shared" si="10"/>
        <v>0</v>
      </c>
      <c r="T232" s="100">
        <f>Tabla1[[#This Row],[STOCK MARZO ]]*Tabla1[[#This Row],[COSTO UNITARIO SIN ITBIS]]</f>
        <v>0</v>
      </c>
    </row>
    <row r="233" spans="1:20" s="9" customFormat="1" x14ac:dyDescent="0.25">
      <c r="A233" s="96">
        <v>24</v>
      </c>
      <c r="B233" s="43">
        <v>44028</v>
      </c>
      <c r="C233" s="42" t="s">
        <v>11</v>
      </c>
      <c r="D233" s="43">
        <v>44028</v>
      </c>
      <c r="E233" s="150"/>
      <c r="F233" s="44">
        <v>1275</v>
      </c>
      <c r="G233" s="41" t="s">
        <v>194</v>
      </c>
      <c r="H233" s="66">
        <v>17</v>
      </c>
      <c r="I233" s="66"/>
      <c r="J233" s="66">
        <f>+'INVENTARIO ENERO-MARZO 2021'!$H233-'INVENTARIO ENERO-MARZO 2021'!$I233</f>
        <v>17</v>
      </c>
      <c r="K233" s="66"/>
      <c r="L233" s="66"/>
      <c r="M233" s="66">
        <f>1+1+1+2</f>
        <v>5</v>
      </c>
      <c r="N233" s="66"/>
      <c r="O233" s="66">
        <f>+Tabla1[[#This Row],[STOCK    FISICO ENERO 2021]]-Tabla1[[#This Row],[REQUISICIONES FEBRERO 2021]]</f>
        <v>12</v>
      </c>
      <c r="P233" s="66">
        <f>+Tabla1[[#This Row],[STOCK  FEBRERO 2021]]-Tabla1[[#This Row],[REQUISICIONES MARZO 2021]]+Tabla1[[#This Row],[ENTRADAS MARZO 2021]]</f>
        <v>12</v>
      </c>
      <c r="Q233" s="41" t="s">
        <v>12</v>
      </c>
      <c r="R233" s="46">
        <v>235.01</v>
      </c>
      <c r="S233" s="36">
        <f t="shared" si="10"/>
        <v>277.31180000000001</v>
      </c>
      <c r="T233" s="100">
        <f>Tabla1[[#This Row],[STOCK MARZO ]]*Tabla1[[#This Row],[COSTO UNITARIO SIN ITBIS]]</f>
        <v>2820.12</v>
      </c>
    </row>
    <row r="234" spans="1:20" s="9" customFormat="1" x14ac:dyDescent="0.25">
      <c r="A234" s="96">
        <v>25</v>
      </c>
      <c r="B234" s="43">
        <v>44168</v>
      </c>
      <c r="C234" s="42" t="s">
        <v>11</v>
      </c>
      <c r="D234" s="43">
        <v>43633</v>
      </c>
      <c r="E234" s="150"/>
      <c r="F234" s="44">
        <v>1261</v>
      </c>
      <c r="G234" s="41" t="s">
        <v>195</v>
      </c>
      <c r="H234" s="66">
        <v>45</v>
      </c>
      <c r="I234" s="66">
        <f>1+1+1</f>
        <v>3</v>
      </c>
      <c r="J234" s="66">
        <f>+'INVENTARIO ENERO-MARZO 2021'!$H234-'INVENTARIO ENERO-MARZO 2021'!$I234</f>
        <v>42</v>
      </c>
      <c r="K234" s="66"/>
      <c r="L234" s="66"/>
      <c r="M234" s="66">
        <f>1+1+1+1+1</f>
        <v>5</v>
      </c>
      <c r="N234" s="66">
        <f>2+2+1+1+2+2+1+1</f>
        <v>12</v>
      </c>
      <c r="O234" s="66">
        <f>+Tabla1[[#This Row],[STOCK    FISICO ENERO 2021]]-Tabla1[[#This Row],[REQUISICIONES FEBRERO 2021]]</f>
        <v>37</v>
      </c>
      <c r="P234" s="66">
        <f>+Tabla1[[#This Row],[STOCK  FEBRERO 2021]]-Tabla1[[#This Row],[REQUISICIONES MARZO 2021]]+Tabla1[[#This Row],[ENTRADAS MARZO 2021]]</f>
        <v>25</v>
      </c>
      <c r="Q234" s="41" t="s">
        <v>51</v>
      </c>
      <c r="R234" s="46">
        <v>418.9</v>
      </c>
      <c r="S234" s="36">
        <f t="shared" si="10"/>
        <v>494.30199999999996</v>
      </c>
      <c r="T234" s="100">
        <f>Tabla1[[#This Row],[STOCK MARZO ]]*Tabla1[[#This Row],[COSTO UNITARIO SIN ITBIS]]</f>
        <v>10472.5</v>
      </c>
    </row>
    <row r="235" spans="1:20" s="9" customFormat="1" x14ac:dyDescent="0.25">
      <c r="A235" s="96">
        <v>26</v>
      </c>
      <c r="B235" s="43">
        <v>44168</v>
      </c>
      <c r="C235" s="42" t="s">
        <v>11</v>
      </c>
      <c r="D235" s="43">
        <v>43633</v>
      </c>
      <c r="E235" s="150"/>
      <c r="F235" s="44">
        <v>1088</v>
      </c>
      <c r="G235" s="41" t="s">
        <v>196</v>
      </c>
      <c r="H235" s="66">
        <v>34</v>
      </c>
      <c r="I235" s="66">
        <f>2+2</f>
        <v>4</v>
      </c>
      <c r="J235" s="66">
        <f>+'INVENTARIO ENERO-MARZO 2021'!$H235-'INVENTARIO ENERO-MARZO 2021'!$I235</f>
        <v>30</v>
      </c>
      <c r="K235" s="66"/>
      <c r="L235" s="66"/>
      <c r="M235" s="66">
        <f>1+1+2+1+1+2+1</f>
        <v>9</v>
      </c>
      <c r="N235" s="66">
        <f>1+1+1+2+3+2</f>
        <v>10</v>
      </c>
      <c r="O235" s="66">
        <f>+Tabla1[[#This Row],[STOCK    FISICO ENERO 2021]]-Tabla1[[#This Row],[REQUISICIONES FEBRERO 2021]]</f>
        <v>21</v>
      </c>
      <c r="P235" s="66">
        <f>+Tabla1[[#This Row],[STOCK  FEBRERO 2021]]-Tabla1[[#This Row],[REQUISICIONES MARZO 2021]]+Tabla1[[#This Row],[ENTRADAS MARZO 2021]]</f>
        <v>11</v>
      </c>
      <c r="Q235" s="41" t="s">
        <v>51</v>
      </c>
      <c r="R235" s="46">
        <v>200.6</v>
      </c>
      <c r="S235" s="36">
        <f t="shared" si="10"/>
        <v>236.708</v>
      </c>
      <c r="T235" s="100">
        <f>Tabla1[[#This Row],[STOCK MARZO ]]*Tabla1[[#This Row],[COSTO UNITARIO SIN ITBIS]]</f>
        <v>2206.6</v>
      </c>
    </row>
    <row r="236" spans="1:20" s="9" customFormat="1" x14ac:dyDescent="0.25">
      <c r="A236" s="96">
        <v>27</v>
      </c>
      <c r="B236" s="127">
        <v>44286</v>
      </c>
      <c r="C236" s="42" t="s">
        <v>11</v>
      </c>
      <c r="D236" s="127">
        <v>44286</v>
      </c>
      <c r="E236" s="149" t="s">
        <v>814</v>
      </c>
      <c r="F236" s="129"/>
      <c r="G236" s="130" t="s">
        <v>824</v>
      </c>
      <c r="H236" s="131"/>
      <c r="I236" s="131"/>
      <c r="J236" s="131">
        <f>+'INVENTARIO ENERO-MARZO 2021'!$H236-'INVENTARIO ENERO-MARZO 2021'!$I236</f>
        <v>0</v>
      </c>
      <c r="K236" s="131"/>
      <c r="L236" s="131">
        <v>20</v>
      </c>
      <c r="M236" s="131"/>
      <c r="N236" s="131"/>
      <c r="O236" s="132">
        <f>+Tabla1[[#This Row],[STOCK    FISICO ENERO 2021]]-Tabla1[[#This Row],[REQUISICIONES FEBRERO 2021]]</f>
        <v>0</v>
      </c>
      <c r="P236" s="132">
        <f>+Tabla1[[#This Row],[STOCK  FEBRERO 2021]]-Tabla1[[#This Row],[REQUISICIONES MARZO 2021]]+Tabla1[[#This Row],[ENTRADAS MARZO 2021]]</f>
        <v>20</v>
      </c>
      <c r="Q236" s="41" t="s">
        <v>146</v>
      </c>
      <c r="R236" s="133">
        <v>286</v>
      </c>
      <c r="S236" s="100">
        <f t="shared" si="10"/>
        <v>337.48</v>
      </c>
      <c r="T236" s="100">
        <f>Tabla1[[#This Row],[STOCK MARZO ]]*Tabla1[[#This Row],[COSTO UNITARIO SIN ITBIS]]</f>
        <v>5720</v>
      </c>
    </row>
    <row r="237" spans="1:20" s="9" customFormat="1" x14ac:dyDescent="0.25">
      <c r="A237" s="96">
        <v>28</v>
      </c>
      <c r="B237" s="43">
        <v>44168</v>
      </c>
      <c r="C237" s="42" t="s">
        <v>11</v>
      </c>
      <c r="D237" s="43">
        <v>43633</v>
      </c>
      <c r="E237" s="150"/>
      <c r="F237" s="44">
        <v>1280</v>
      </c>
      <c r="G237" s="41" t="s">
        <v>674</v>
      </c>
      <c r="H237" s="66">
        <v>9</v>
      </c>
      <c r="I237" s="66"/>
      <c r="J237" s="66">
        <v>0</v>
      </c>
      <c r="K237" s="66"/>
      <c r="L237" s="66"/>
      <c r="M237" s="66"/>
      <c r="N237" s="66"/>
      <c r="O237" s="66">
        <f>+Tabla1[[#This Row],[STOCK    FISICO ENERO 2021]]-Tabla1[[#This Row],[REQUISICIONES FEBRERO 2021]]</f>
        <v>0</v>
      </c>
      <c r="P237" s="66">
        <f>+Tabla1[[#This Row],[STOCK  FEBRERO 2021]]-Tabla1[[#This Row],[REQUISICIONES MARZO 2021]]+Tabla1[[#This Row],[ENTRADAS MARZO 2021]]</f>
        <v>0</v>
      </c>
      <c r="Q237" s="41" t="s">
        <v>146</v>
      </c>
      <c r="R237" s="46">
        <v>400</v>
      </c>
      <c r="S237" s="36">
        <f t="shared" si="10"/>
        <v>472</v>
      </c>
      <c r="T237" s="100">
        <f>Tabla1[[#This Row],[STOCK MARZO ]]*Tabla1[[#This Row],[COSTO UNITARIO SIN ITBIS]]</f>
        <v>0</v>
      </c>
    </row>
    <row r="238" spans="1:20" s="9" customFormat="1" x14ac:dyDescent="0.25">
      <c r="A238" s="96">
        <v>29</v>
      </c>
      <c r="B238" s="43">
        <v>44168</v>
      </c>
      <c r="C238" s="42" t="s">
        <v>11</v>
      </c>
      <c r="D238" s="43">
        <v>43633</v>
      </c>
      <c r="E238" s="150"/>
      <c r="F238" s="44">
        <v>1281</v>
      </c>
      <c r="G238" s="41" t="s">
        <v>197</v>
      </c>
      <c r="H238" s="66"/>
      <c r="I238" s="66"/>
      <c r="J238" s="66">
        <v>9</v>
      </c>
      <c r="K238" s="66"/>
      <c r="L238" s="66"/>
      <c r="M238" s="66">
        <f>1+1+1+1</f>
        <v>4</v>
      </c>
      <c r="N238" s="66">
        <f>2+1+1+1</f>
        <v>5</v>
      </c>
      <c r="O238" s="66">
        <f>+Tabla1[[#This Row],[STOCK    FISICO ENERO 2021]]-Tabla1[[#This Row],[REQUISICIONES FEBRERO 2021]]</f>
        <v>5</v>
      </c>
      <c r="P238" s="66">
        <f>+Tabla1[[#This Row],[STOCK  FEBRERO 2021]]-Tabla1[[#This Row],[REQUISICIONES MARZO 2021]]+Tabla1[[#This Row],[ENTRADAS MARZO 2021]]</f>
        <v>0</v>
      </c>
      <c r="Q238" s="41" t="s">
        <v>146</v>
      </c>
      <c r="R238" s="46">
        <v>400</v>
      </c>
      <c r="S238" s="36">
        <f t="shared" si="10"/>
        <v>472</v>
      </c>
      <c r="T238" s="100">
        <f>Tabla1[[#This Row],[STOCK MARZO ]]*Tabla1[[#This Row],[COSTO UNITARIO SIN ITBIS]]</f>
        <v>0</v>
      </c>
    </row>
    <row r="239" spans="1:20" s="9" customFormat="1" x14ac:dyDescent="0.25">
      <c r="A239" s="96">
        <v>30</v>
      </c>
      <c r="B239" s="43">
        <v>44110</v>
      </c>
      <c r="C239" s="35" t="s">
        <v>11</v>
      </c>
      <c r="D239" s="43"/>
      <c r="E239" s="150"/>
      <c r="F239" s="52">
        <v>1259</v>
      </c>
      <c r="G239" s="49" t="s">
        <v>680</v>
      </c>
      <c r="H239" s="67">
        <f>75+75</f>
        <v>150</v>
      </c>
      <c r="I239" s="67">
        <f>2+2+2</f>
        <v>6</v>
      </c>
      <c r="J239" s="67">
        <f>+'INVENTARIO ENERO-MARZO 2021'!$H239-'INVENTARIO ENERO-MARZO 2021'!$I239</f>
        <v>144</v>
      </c>
      <c r="K239" s="67"/>
      <c r="L239" s="67"/>
      <c r="M239" s="67">
        <f>1+1+1+2+2+2+2+2+2+2+3+1+1+2+1+4</f>
        <v>29</v>
      </c>
      <c r="N239" s="67">
        <f>2+2+3+2+2+2+2+1+1+2</f>
        <v>19</v>
      </c>
      <c r="O239" s="67">
        <f>+Tabla1[[#This Row],[STOCK    FISICO ENERO 2021]]-Tabla1[[#This Row],[REQUISICIONES FEBRERO 2021]]</f>
        <v>115</v>
      </c>
      <c r="P239" s="67">
        <f>+Tabla1[[#This Row],[STOCK  FEBRERO 2021]]-Tabla1[[#This Row],[REQUISICIONES MARZO 2021]]+Tabla1[[#This Row],[ENTRADAS MARZO 2021]]</f>
        <v>96</v>
      </c>
      <c r="Q239" s="49" t="s">
        <v>182</v>
      </c>
      <c r="R239" s="53">
        <v>129.80000000000001</v>
      </c>
      <c r="S239" s="36">
        <f t="shared" si="10"/>
        <v>153.16400000000002</v>
      </c>
      <c r="T239" s="100">
        <f>Tabla1[[#This Row],[STOCK MARZO ]]*Tabla1[[#This Row],[COSTO UNITARIO SIN ITBIS]]</f>
        <v>12460.800000000001</v>
      </c>
    </row>
    <row r="240" spans="1:20" s="9" customFormat="1" x14ac:dyDescent="0.25">
      <c r="A240" s="96">
        <v>31</v>
      </c>
      <c r="B240" s="43">
        <v>43636</v>
      </c>
      <c r="C240" s="42" t="s">
        <v>11</v>
      </c>
      <c r="D240" s="43">
        <v>43633</v>
      </c>
      <c r="E240" s="150"/>
      <c r="F240" s="44"/>
      <c r="G240" s="41" t="s">
        <v>198</v>
      </c>
      <c r="H240" s="68">
        <v>155</v>
      </c>
      <c r="I240" s="68"/>
      <c r="J240" s="68">
        <f>+'INVENTARIO ENERO-MARZO 2021'!$H240-'INVENTARIO ENERO-MARZO 2021'!$I240</f>
        <v>155</v>
      </c>
      <c r="K240" s="68"/>
      <c r="L240" s="68"/>
      <c r="M240" s="68"/>
      <c r="N240" s="68"/>
      <c r="O240" s="68">
        <f>+Tabla1[[#This Row],[STOCK    FISICO ENERO 2021]]-Tabla1[[#This Row],[REQUISICIONES FEBRERO 2021]]</f>
        <v>155</v>
      </c>
      <c r="P240" s="68">
        <f>+Tabla1[[#This Row],[STOCK  FEBRERO 2021]]-Tabla1[[#This Row],[REQUISICIONES MARZO 2021]]+Tabla1[[#This Row],[ENTRADAS MARZO 2021]]</f>
        <v>155</v>
      </c>
      <c r="Q240" s="41" t="s">
        <v>230</v>
      </c>
      <c r="R240" s="42">
        <v>71.69</v>
      </c>
      <c r="S240" s="36">
        <f t="shared" si="10"/>
        <v>84.594200000000001</v>
      </c>
      <c r="T240" s="100">
        <f>Tabla1[[#This Row],[STOCK MARZO ]]*Tabla1[[#This Row],[COSTO UNITARIO SIN ITBIS]]</f>
        <v>11111.949999999999</v>
      </c>
    </row>
    <row r="241" spans="1:20" s="9" customFormat="1" x14ac:dyDescent="0.25">
      <c r="A241" s="96">
        <v>32</v>
      </c>
      <c r="B241" s="43">
        <v>44168</v>
      </c>
      <c r="C241" s="42" t="s">
        <v>11</v>
      </c>
      <c r="D241" s="43">
        <v>43633</v>
      </c>
      <c r="E241" s="150"/>
      <c r="F241" s="44">
        <v>1095</v>
      </c>
      <c r="G241" s="41" t="s">
        <v>200</v>
      </c>
      <c r="H241" s="66">
        <f>104+17+35</f>
        <v>156</v>
      </c>
      <c r="I241" s="66"/>
      <c r="J241" s="66">
        <f>+'INVENTARIO ENERO-MARZO 2021'!$H241-'INVENTARIO ENERO-MARZO 2021'!$I241</f>
        <v>156</v>
      </c>
      <c r="K241" s="66"/>
      <c r="L241" s="66"/>
      <c r="M241" s="66">
        <f>6+10+4</f>
        <v>20</v>
      </c>
      <c r="N241" s="66">
        <f>2+3</f>
        <v>5</v>
      </c>
      <c r="O241" s="66">
        <f>+Tabla1[[#This Row],[STOCK    FISICO ENERO 2021]]-Tabla1[[#This Row],[REQUISICIONES FEBRERO 2021]]</f>
        <v>136</v>
      </c>
      <c r="P241" s="66">
        <f>+Tabla1[[#This Row],[STOCK  FEBRERO 2021]]-Tabla1[[#This Row],[REQUISICIONES MARZO 2021]]+Tabla1[[#This Row],[ENTRADAS MARZO 2021]]</f>
        <v>131</v>
      </c>
      <c r="Q241" s="41" t="s">
        <v>199</v>
      </c>
      <c r="R241" s="46">
        <v>41.3</v>
      </c>
      <c r="S241" s="36">
        <f t="shared" si="10"/>
        <v>48.733999999999995</v>
      </c>
      <c r="T241" s="100">
        <f>Tabla1[[#This Row],[STOCK MARZO ]]*Tabla1[[#This Row],[COSTO UNITARIO SIN ITBIS]]</f>
        <v>5410.2999999999993</v>
      </c>
    </row>
    <row r="242" spans="1:20" s="9" customFormat="1" x14ac:dyDescent="0.25">
      <c r="A242" s="96">
        <v>33</v>
      </c>
      <c r="B242" s="43">
        <v>44168</v>
      </c>
      <c r="C242" s="42" t="s">
        <v>11</v>
      </c>
      <c r="D242" s="43">
        <v>44110</v>
      </c>
      <c r="E242" s="150"/>
      <c r="F242" s="44" t="s">
        <v>23</v>
      </c>
      <c r="G242" s="41" t="s">
        <v>201</v>
      </c>
      <c r="H242" s="66">
        <v>29</v>
      </c>
      <c r="I242" s="66"/>
      <c r="J242" s="66">
        <f>+'INVENTARIO ENERO-MARZO 2021'!$H242-'INVENTARIO ENERO-MARZO 2021'!$I242</f>
        <v>29</v>
      </c>
      <c r="K242" s="66"/>
      <c r="L242" s="66"/>
      <c r="M242" s="66"/>
      <c r="N242" s="66"/>
      <c r="O242" s="66">
        <f>+Tabla1[[#This Row],[STOCK    FISICO ENERO 2021]]-Tabla1[[#This Row],[REQUISICIONES FEBRERO 2021]]</f>
        <v>29</v>
      </c>
      <c r="P242" s="66">
        <f>+Tabla1[[#This Row],[STOCK  FEBRERO 2021]]-Tabla1[[#This Row],[REQUISICIONES MARZO 2021]]+Tabla1[[#This Row],[ENTRADAS MARZO 2021]]</f>
        <v>29</v>
      </c>
      <c r="Q242" s="41" t="s">
        <v>12</v>
      </c>
      <c r="R242" s="46">
        <v>94.4</v>
      </c>
      <c r="S242" s="36">
        <f t="shared" si="10"/>
        <v>111.39200000000001</v>
      </c>
      <c r="T242" s="100">
        <f>Tabla1[[#This Row],[STOCK MARZO ]]*Tabla1[[#This Row],[COSTO UNITARIO SIN ITBIS]]</f>
        <v>2737.6000000000004</v>
      </c>
    </row>
    <row r="243" spans="1:20" s="9" customFormat="1" x14ac:dyDescent="0.25">
      <c r="A243" s="96">
        <v>34</v>
      </c>
      <c r="B243" s="43">
        <v>43397</v>
      </c>
      <c r="C243" s="35" t="s">
        <v>11</v>
      </c>
      <c r="D243" s="43">
        <v>43397</v>
      </c>
      <c r="E243" s="150"/>
      <c r="F243" s="52">
        <v>1097</v>
      </c>
      <c r="G243" s="49" t="s">
        <v>202</v>
      </c>
      <c r="H243" s="67">
        <v>13</v>
      </c>
      <c r="I243" s="67"/>
      <c r="J243" s="67">
        <f>+'INVENTARIO ENERO-MARZO 2021'!$H243-'INVENTARIO ENERO-MARZO 2021'!$I243</f>
        <v>13</v>
      </c>
      <c r="K243" s="67"/>
      <c r="L243" s="67"/>
      <c r="M243" s="67">
        <v>1</v>
      </c>
      <c r="N243" s="67"/>
      <c r="O243" s="67">
        <f>+Tabla1[[#This Row],[STOCK    FISICO ENERO 2021]]-Tabla1[[#This Row],[REQUISICIONES FEBRERO 2021]]</f>
        <v>12</v>
      </c>
      <c r="P243" s="67">
        <f>+Tabla1[[#This Row],[STOCK  FEBRERO 2021]]-Tabla1[[#This Row],[REQUISICIONES MARZO 2021]]+Tabla1[[#This Row],[ENTRADAS MARZO 2021]]</f>
        <v>12</v>
      </c>
      <c r="Q243" s="49" t="s">
        <v>177</v>
      </c>
      <c r="R243" s="53">
        <v>218</v>
      </c>
      <c r="S243" s="40">
        <f t="shared" si="10"/>
        <v>257.24</v>
      </c>
      <c r="T243" s="100">
        <f>Tabla1[[#This Row],[STOCK MARZO ]]*Tabla1[[#This Row],[COSTO UNITARIO SIN ITBIS]]</f>
        <v>2616</v>
      </c>
    </row>
    <row r="244" spans="1:20" s="9" customFormat="1" x14ac:dyDescent="0.25">
      <c r="A244" s="96">
        <v>35</v>
      </c>
      <c r="B244" s="43">
        <v>44167</v>
      </c>
      <c r="C244" s="42" t="s">
        <v>11</v>
      </c>
      <c r="D244" s="43">
        <v>44159</v>
      </c>
      <c r="E244" s="150"/>
      <c r="F244" s="44" t="s">
        <v>23</v>
      </c>
      <c r="G244" s="41" t="s">
        <v>203</v>
      </c>
      <c r="H244" s="66">
        <v>111</v>
      </c>
      <c r="I244" s="66">
        <f>3+1</f>
        <v>4</v>
      </c>
      <c r="J244" s="66">
        <f>+'INVENTARIO ENERO-MARZO 2021'!$H244-'INVENTARIO ENERO-MARZO 2021'!$I244</f>
        <v>107</v>
      </c>
      <c r="K244" s="66"/>
      <c r="L244" s="66"/>
      <c r="M244" s="66">
        <f>1+2+1+2+2+1+2+2+2</f>
        <v>15</v>
      </c>
      <c r="N244" s="66">
        <f>2+2+1+2+1+1+1+2+2</f>
        <v>14</v>
      </c>
      <c r="O244" s="66">
        <f>+Tabla1[[#This Row],[STOCK    FISICO ENERO 2021]]-Tabla1[[#This Row],[REQUISICIONES FEBRERO 2021]]</f>
        <v>92</v>
      </c>
      <c r="P244" s="66">
        <f>+Tabla1[[#This Row],[STOCK  FEBRERO 2021]]-Tabla1[[#This Row],[REQUISICIONES MARZO 2021]]+Tabla1[[#This Row],[ENTRADAS MARZO 2021]]</f>
        <v>78</v>
      </c>
      <c r="Q244" s="41" t="s">
        <v>182</v>
      </c>
      <c r="R244" s="46">
        <v>102.66</v>
      </c>
      <c r="S244" s="40">
        <f t="shared" si="10"/>
        <v>121.1388</v>
      </c>
      <c r="T244" s="100">
        <f>Tabla1[[#This Row],[STOCK MARZO ]]*Tabla1[[#This Row],[COSTO UNITARIO SIN ITBIS]]</f>
        <v>8007.48</v>
      </c>
    </row>
    <row r="245" spans="1:20" s="13" customFormat="1" ht="18" customHeight="1" x14ac:dyDescent="0.25">
      <c r="A245" s="96">
        <v>36</v>
      </c>
      <c r="B245" s="43">
        <v>43556</v>
      </c>
      <c r="C245" s="42" t="s">
        <v>11</v>
      </c>
      <c r="D245" s="43">
        <v>43556</v>
      </c>
      <c r="E245" s="150"/>
      <c r="F245" s="44">
        <v>1101</v>
      </c>
      <c r="G245" s="41" t="s">
        <v>204</v>
      </c>
      <c r="H245" s="66">
        <v>39</v>
      </c>
      <c r="I245" s="66">
        <f>2+1+1</f>
        <v>4</v>
      </c>
      <c r="J245" s="66">
        <f>+'INVENTARIO ENERO-MARZO 2021'!$H245-'INVENTARIO ENERO-MARZO 2021'!$I245</f>
        <v>35</v>
      </c>
      <c r="K245" s="66"/>
      <c r="L245" s="66"/>
      <c r="M245" s="66">
        <f>1+1+1+1+1</f>
        <v>5</v>
      </c>
      <c r="N245" s="66">
        <f>1+1</f>
        <v>2</v>
      </c>
      <c r="O245" s="66">
        <f>+Tabla1[[#This Row],[STOCK    FISICO ENERO 2021]]-Tabla1[[#This Row],[REQUISICIONES FEBRERO 2021]]</f>
        <v>30</v>
      </c>
      <c r="P245" s="66">
        <f>+Tabla1[[#This Row],[STOCK  FEBRERO 2021]]-Tabla1[[#This Row],[REQUISICIONES MARZO 2021]]+Tabla1[[#This Row],[ENTRADAS MARZO 2021]]</f>
        <v>28</v>
      </c>
      <c r="Q245" s="41" t="s">
        <v>182</v>
      </c>
      <c r="R245" s="46">
        <v>259.60000000000002</v>
      </c>
      <c r="S245" s="36">
        <f t="shared" si="10"/>
        <v>306.32800000000003</v>
      </c>
      <c r="T245" s="100">
        <f>Tabla1[[#This Row],[STOCK MARZO ]]*Tabla1[[#This Row],[COSTO UNITARIO SIN ITBIS]]</f>
        <v>7268.8000000000011</v>
      </c>
    </row>
    <row r="246" spans="1:20" s="9" customFormat="1" x14ac:dyDescent="0.25">
      <c r="A246" s="96">
        <v>37</v>
      </c>
      <c r="B246" s="43">
        <v>43636</v>
      </c>
      <c r="C246" s="42" t="s">
        <v>11</v>
      </c>
      <c r="D246" s="43">
        <v>43620</v>
      </c>
      <c r="E246" s="150"/>
      <c r="F246" s="44">
        <v>1260</v>
      </c>
      <c r="G246" s="41" t="s">
        <v>205</v>
      </c>
      <c r="H246" s="66">
        <v>1</v>
      </c>
      <c r="I246" s="66"/>
      <c r="J246" s="66">
        <f>+'INVENTARIO ENERO-MARZO 2021'!$H246-'INVENTARIO ENERO-MARZO 2021'!$I246</f>
        <v>1</v>
      </c>
      <c r="K246" s="66"/>
      <c r="L246" s="66"/>
      <c r="M246" s="66">
        <v>1</v>
      </c>
      <c r="N246" s="66"/>
      <c r="O246" s="66">
        <f>+Tabla1[[#This Row],[STOCK    FISICO ENERO 2021]]-Tabla1[[#This Row],[REQUISICIONES FEBRERO 2021]]</f>
        <v>0</v>
      </c>
      <c r="P246" s="66">
        <f>+Tabla1[[#This Row],[STOCK  FEBRERO 2021]]-Tabla1[[#This Row],[REQUISICIONES MARZO 2021]]+Tabla1[[#This Row],[ENTRADAS MARZO 2021]]</f>
        <v>0</v>
      </c>
      <c r="Q246" s="41" t="s">
        <v>182</v>
      </c>
      <c r="R246" s="46">
        <v>265.5</v>
      </c>
      <c r="S246" s="36">
        <f t="shared" si="10"/>
        <v>313.29000000000002</v>
      </c>
      <c r="T246" s="100">
        <f>Tabla1[[#This Row],[STOCK MARZO ]]*Tabla1[[#This Row],[COSTO UNITARIO SIN ITBIS]]</f>
        <v>0</v>
      </c>
    </row>
    <row r="247" spans="1:20" s="9" customFormat="1" x14ac:dyDescent="0.25">
      <c r="A247" s="96">
        <v>38</v>
      </c>
      <c r="B247" s="43">
        <v>44167</v>
      </c>
      <c r="C247" s="42" t="s">
        <v>11</v>
      </c>
      <c r="D247" s="43">
        <v>44162</v>
      </c>
      <c r="E247" s="150"/>
      <c r="F247" s="44" t="s">
        <v>23</v>
      </c>
      <c r="G247" s="41" t="s">
        <v>206</v>
      </c>
      <c r="H247" s="66">
        <v>3</v>
      </c>
      <c r="I247" s="66"/>
      <c r="J247" s="66">
        <f>+'INVENTARIO ENERO-MARZO 2021'!$H247-'INVENTARIO ENERO-MARZO 2021'!$I247</f>
        <v>3</v>
      </c>
      <c r="K247" s="66"/>
      <c r="L247" s="66"/>
      <c r="M247" s="66"/>
      <c r="N247" s="66"/>
      <c r="O247" s="66">
        <f>+Tabla1[[#This Row],[STOCK    FISICO ENERO 2021]]-Tabla1[[#This Row],[REQUISICIONES FEBRERO 2021]]</f>
        <v>3</v>
      </c>
      <c r="P247" s="66">
        <f>+Tabla1[[#This Row],[STOCK  FEBRERO 2021]]-Tabla1[[#This Row],[REQUISICIONES MARZO 2021]]+Tabla1[[#This Row],[ENTRADAS MARZO 2021]]</f>
        <v>3</v>
      </c>
      <c r="Q247" s="41" t="s">
        <v>207</v>
      </c>
      <c r="R247" s="46">
        <v>1171.26</v>
      </c>
      <c r="S247" s="36">
        <f t="shared" si="10"/>
        <v>1382.0868</v>
      </c>
      <c r="T247" s="100">
        <f>Tabla1[[#This Row],[STOCK MARZO ]]*Tabla1[[#This Row],[COSTO UNITARIO SIN ITBIS]]</f>
        <v>3513.7799999999997</v>
      </c>
    </row>
    <row r="248" spans="1:20" s="9" customFormat="1" x14ac:dyDescent="0.25">
      <c r="A248" s="96">
        <v>39</v>
      </c>
      <c r="B248" s="43">
        <v>44110</v>
      </c>
      <c r="C248" s="42" t="s">
        <v>11</v>
      </c>
      <c r="D248" s="43">
        <v>44110</v>
      </c>
      <c r="E248" s="150"/>
      <c r="F248" s="44" t="s">
        <v>23</v>
      </c>
      <c r="G248" s="41" t="s">
        <v>208</v>
      </c>
      <c r="H248" s="66">
        <v>14</v>
      </c>
      <c r="I248" s="66"/>
      <c r="J248" s="66">
        <f>+'INVENTARIO ENERO-MARZO 2021'!$H248-'INVENTARIO ENERO-MARZO 2021'!$I248</f>
        <v>14</v>
      </c>
      <c r="K248" s="66"/>
      <c r="L248" s="66"/>
      <c r="M248" s="66"/>
      <c r="N248" s="66"/>
      <c r="O248" s="66">
        <f>+Tabla1[[#This Row],[STOCK    FISICO ENERO 2021]]-Tabla1[[#This Row],[REQUISICIONES FEBRERO 2021]]</f>
        <v>14</v>
      </c>
      <c r="P248" s="66">
        <f>+Tabla1[[#This Row],[STOCK  FEBRERO 2021]]-Tabla1[[#This Row],[REQUISICIONES MARZO 2021]]+Tabla1[[#This Row],[ENTRADAS MARZO 2021]]</f>
        <v>14</v>
      </c>
      <c r="Q248" s="41" t="s">
        <v>182</v>
      </c>
      <c r="R248" s="46">
        <v>0</v>
      </c>
      <c r="S248" s="36">
        <f t="shared" si="10"/>
        <v>0</v>
      </c>
      <c r="T248" s="100">
        <f>Tabla1[[#This Row],[STOCK MARZO ]]*Tabla1[[#This Row],[COSTO UNITARIO SIN ITBIS]]</f>
        <v>0</v>
      </c>
    </row>
    <row r="249" spans="1:20" s="9" customFormat="1" x14ac:dyDescent="0.25">
      <c r="A249" s="96">
        <v>40</v>
      </c>
      <c r="B249" s="43">
        <v>44167</v>
      </c>
      <c r="C249" s="35" t="s">
        <v>11</v>
      </c>
      <c r="D249" s="43">
        <v>44159</v>
      </c>
      <c r="E249" s="150"/>
      <c r="F249" s="52">
        <v>1130</v>
      </c>
      <c r="G249" s="49" t="s">
        <v>209</v>
      </c>
      <c r="H249" s="67">
        <v>29</v>
      </c>
      <c r="I249" s="67">
        <f>1+1</f>
        <v>2</v>
      </c>
      <c r="J249" s="67">
        <f>+'INVENTARIO ENERO-MARZO 2021'!$H249-'INVENTARIO ENERO-MARZO 2021'!$I249</f>
        <v>27</v>
      </c>
      <c r="K249" s="67"/>
      <c r="L249" s="67"/>
      <c r="M249" s="67">
        <f>1+1+1+2+1+1+2+1+1+1+1</f>
        <v>13</v>
      </c>
      <c r="N249" s="67">
        <f>2+1</f>
        <v>3</v>
      </c>
      <c r="O249" s="67">
        <f>+Tabla1[[#This Row],[STOCK    FISICO ENERO 2021]]-Tabla1[[#This Row],[REQUISICIONES FEBRERO 2021]]</f>
        <v>14</v>
      </c>
      <c r="P249" s="67">
        <f>+Tabla1[[#This Row],[STOCK  FEBRERO 2021]]-Tabla1[[#This Row],[REQUISICIONES MARZO 2021]]+Tabla1[[#This Row],[ENTRADAS MARZO 2021]]</f>
        <v>11</v>
      </c>
      <c r="Q249" s="49" t="s">
        <v>182</v>
      </c>
      <c r="R249" s="53">
        <v>590</v>
      </c>
      <c r="S249" s="36">
        <f t="shared" si="10"/>
        <v>696.2</v>
      </c>
      <c r="T249" s="100">
        <f>Tabla1[[#This Row],[STOCK MARZO ]]*Tabla1[[#This Row],[COSTO UNITARIO SIN ITBIS]]</f>
        <v>6490</v>
      </c>
    </row>
    <row r="250" spans="1:20" s="9" customFormat="1" x14ac:dyDescent="0.25">
      <c r="A250" s="96">
        <v>41</v>
      </c>
      <c r="B250" s="127">
        <v>44286</v>
      </c>
      <c r="C250" s="35" t="s">
        <v>11</v>
      </c>
      <c r="D250" s="127">
        <v>44286</v>
      </c>
      <c r="E250" s="149" t="s">
        <v>814</v>
      </c>
      <c r="F250" s="129"/>
      <c r="G250" s="130" t="s">
        <v>821</v>
      </c>
      <c r="H250" s="131"/>
      <c r="I250" s="131"/>
      <c r="J250" s="131">
        <f>+'INVENTARIO ENERO-MARZO 2021'!$H250-'INVENTARIO ENERO-MARZO 2021'!$I250</f>
        <v>0</v>
      </c>
      <c r="K250" s="131"/>
      <c r="L250" s="131">
        <f>6*50</f>
        <v>300</v>
      </c>
      <c r="M250" s="131"/>
      <c r="N250" s="131"/>
      <c r="O250" s="132">
        <f>+Tabla1[[#This Row],[STOCK    FISICO ENERO 2021]]-Tabla1[[#This Row],[REQUISICIONES FEBRERO 2021]]</f>
        <v>0</v>
      </c>
      <c r="P250" s="132">
        <f>+Tabla1[[#This Row],[STOCK  FEBRERO 2021]]-Tabla1[[#This Row],[REQUISICIONES MARZO 2021]]+Tabla1[[#This Row],[ENTRADAS MARZO 2021]]</f>
        <v>300</v>
      </c>
      <c r="Q250" s="41" t="s">
        <v>12</v>
      </c>
      <c r="R250" s="133">
        <v>6</v>
      </c>
      <c r="S250" s="100" t="s">
        <v>805</v>
      </c>
      <c r="T250" s="100">
        <f>Tabla1[[#This Row],[STOCK MARZO ]]*Tabla1[[#This Row],[COSTO UNITARIO SIN ITBIS]]</f>
        <v>1800</v>
      </c>
    </row>
    <row r="251" spans="1:20" s="9" customFormat="1" x14ac:dyDescent="0.25">
      <c r="A251" s="96">
        <v>42</v>
      </c>
      <c r="B251" s="43">
        <v>43509</v>
      </c>
      <c r="C251" s="42" t="s">
        <v>11</v>
      </c>
      <c r="D251" s="43">
        <v>43509</v>
      </c>
      <c r="E251" s="150"/>
      <c r="F251" s="44">
        <v>1145</v>
      </c>
      <c r="G251" s="41" t="s">
        <v>211</v>
      </c>
      <c r="H251" s="66">
        <v>44</v>
      </c>
      <c r="I251" s="66"/>
      <c r="J251" s="66">
        <f>+'INVENTARIO ENERO-MARZO 2021'!$H251-'INVENTARIO ENERO-MARZO 2021'!$I251</f>
        <v>44</v>
      </c>
      <c r="K251" s="66"/>
      <c r="L251" s="66"/>
      <c r="M251" s="66"/>
      <c r="N251" s="66"/>
      <c r="O251" s="66">
        <f>+Tabla1[[#This Row],[STOCK    FISICO ENERO 2021]]-Tabla1[[#This Row],[REQUISICIONES FEBRERO 2021]]</f>
        <v>44</v>
      </c>
      <c r="P251" s="66">
        <f>+Tabla1[[#This Row],[STOCK  FEBRERO 2021]]-Tabla1[[#This Row],[REQUISICIONES MARZO 2021]]+Tabla1[[#This Row],[ENTRADAS MARZO 2021]]</f>
        <v>44</v>
      </c>
      <c r="Q251" s="41" t="s">
        <v>12</v>
      </c>
      <c r="R251" s="46">
        <v>135</v>
      </c>
      <c r="S251" s="36">
        <f t="shared" si="10"/>
        <v>159.30000000000001</v>
      </c>
      <c r="T251" s="100">
        <f>Tabla1[[#This Row],[STOCK MARZO ]]*Tabla1[[#This Row],[COSTO UNITARIO SIN ITBIS]]</f>
        <v>5940</v>
      </c>
    </row>
    <row r="252" spans="1:20" s="13" customFormat="1" x14ac:dyDescent="0.25">
      <c r="A252" s="96">
        <v>43</v>
      </c>
      <c r="B252" s="43">
        <v>43080</v>
      </c>
      <c r="C252" s="42" t="s">
        <v>11</v>
      </c>
      <c r="D252" s="43">
        <v>43080</v>
      </c>
      <c r="E252" s="150"/>
      <c r="F252" s="44">
        <v>1144</v>
      </c>
      <c r="G252" s="41" t="s">
        <v>212</v>
      </c>
      <c r="H252" s="66">
        <v>193</v>
      </c>
      <c r="I252" s="66"/>
      <c r="J252" s="66">
        <f>+'INVENTARIO ENERO-MARZO 2021'!$H252-'INVENTARIO ENERO-MARZO 2021'!$I252</f>
        <v>193</v>
      </c>
      <c r="K252" s="66"/>
      <c r="L252" s="66"/>
      <c r="M252" s="66">
        <v>1</v>
      </c>
      <c r="N252" s="66"/>
      <c r="O252" s="66">
        <f>+Tabla1[[#This Row],[STOCK    FISICO ENERO 2021]]-Tabla1[[#This Row],[REQUISICIONES FEBRERO 2021]]</f>
        <v>192</v>
      </c>
      <c r="P252" s="66">
        <f>+Tabla1[[#This Row],[STOCK  FEBRERO 2021]]-Tabla1[[#This Row],[REQUISICIONES MARZO 2021]]+Tabla1[[#This Row],[ENTRADAS MARZO 2021]]</f>
        <v>192</v>
      </c>
      <c r="Q252" s="41" t="s">
        <v>12</v>
      </c>
      <c r="R252" s="46">
        <v>0</v>
      </c>
      <c r="S252" s="36">
        <f t="shared" si="10"/>
        <v>0</v>
      </c>
      <c r="T252" s="100">
        <f>Tabla1[[#This Row],[STOCK MARZO ]]*Tabla1[[#This Row],[COSTO UNITARIO SIN ITBIS]]</f>
        <v>0</v>
      </c>
    </row>
    <row r="253" spans="1:20" s="9" customFormat="1" x14ac:dyDescent="0.25">
      <c r="A253" s="96">
        <v>44</v>
      </c>
      <c r="B253" s="43">
        <v>43636</v>
      </c>
      <c r="C253" s="42" t="s">
        <v>11</v>
      </c>
      <c r="D253" s="43">
        <v>43633</v>
      </c>
      <c r="E253" s="150"/>
      <c r="F253" s="44">
        <v>1426</v>
      </c>
      <c r="G253" s="41" t="s">
        <v>213</v>
      </c>
      <c r="H253" s="66"/>
      <c r="I253" s="66"/>
      <c r="J253" s="66">
        <f>+'INVENTARIO ENERO-MARZO 2021'!$H253-'INVENTARIO ENERO-MARZO 2021'!$I253</f>
        <v>0</v>
      </c>
      <c r="K253" s="66"/>
      <c r="L253" s="66"/>
      <c r="M253" s="66"/>
      <c r="N253" s="66"/>
      <c r="O253" s="66">
        <f>+Tabla1[[#This Row],[STOCK    FISICO ENERO 2021]]-Tabla1[[#This Row],[REQUISICIONES FEBRERO 2021]]</f>
        <v>0</v>
      </c>
      <c r="P253" s="66">
        <f>+Tabla1[[#This Row],[STOCK  FEBRERO 2021]]-Tabla1[[#This Row],[REQUISICIONES MARZO 2021]]+Tabla1[[#This Row],[ENTRADAS MARZO 2021]]</f>
        <v>0</v>
      </c>
      <c r="Q253" s="41" t="s">
        <v>214</v>
      </c>
      <c r="R253" s="46">
        <v>1528.1</v>
      </c>
      <c r="S253" s="36">
        <f t="shared" si="10"/>
        <v>1803.1579999999999</v>
      </c>
      <c r="T253" s="100">
        <f>Tabla1[[#This Row],[STOCK MARZO ]]*Tabla1[[#This Row],[COSTO UNITARIO SIN ITBIS]]</f>
        <v>0</v>
      </c>
    </row>
    <row r="254" spans="1:20" s="9" customFormat="1" x14ac:dyDescent="0.25">
      <c r="A254" s="96">
        <v>45</v>
      </c>
      <c r="B254" s="43">
        <v>43636</v>
      </c>
      <c r="C254" s="42" t="s">
        <v>11</v>
      </c>
      <c r="D254" s="43">
        <v>43633</v>
      </c>
      <c r="E254" s="150"/>
      <c r="F254" s="44">
        <v>1466</v>
      </c>
      <c r="G254" s="41" t="s">
        <v>215</v>
      </c>
      <c r="H254" s="66">
        <v>80</v>
      </c>
      <c r="I254" s="66"/>
      <c r="J254" s="66">
        <f>+'INVENTARIO ENERO-MARZO 2021'!$H254-'INVENTARIO ENERO-MARZO 2021'!$I254</f>
        <v>80</v>
      </c>
      <c r="K254" s="66"/>
      <c r="L254" s="66"/>
      <c r="M254" s="66"/>
      <c r="N254" s="66"/>
      <c r="O254" s="66">
        <f>+Tabla1[[#This Row],[STOCK    FISICO ENERO 2021]]-Tabla1[[#This Row],[REQUISICIONES FEBRERO 2021]]</f>
        <v>80</v>
      </c>
      <c r="P254" s="66">
        <f>+Tabla1[[#This Row],[STOCK  FEBRERO 2021]]-Tabla1[[#This Row],[REQUISICIONES MARZO 2021]]+Tabla1[[#This Row],[ENTRADAS MARZO 2021]]</f>
        <v>80</v>
      </c>
      <c r="Q254" s="41" t="s">
        <v>51</v>
      </c>
      <c r="R254" s="46">
        <v>560</v>
      </c>
      <c r="S254" s="36">
        <f t="shared" si="10"/>
        <v>660.8</v>
      </c>
      <c r="T254" s="100">
        <f>Tabla1[[#This Row],[STOCK MARZO ]]*Tabla1[[#This Row],[COSTO UNITARIO SIN ITBIS]]</f>
        <v>44800</v>
      </c>
    </row>
    <row r="255" spans="1:20" s="9" customFormat="1" x14ac:dyDescent="0.25">
      <c r="A255" s="96">
        <v>46</v>
      </c>
      <c r="B255" s="43">
        <v>43636</v>
      </c>
      <c r="C255" s="35" t="s">
        <v>11</v>
      </c>
      <c r="D255" s="43">
        <v>43633</v>
      </c>
      <c r="E255" s="150"/>
      <c r="F255" s="52">
        <v>1269</v>
      </c>
      <c r="G255" s="49" t="s">
        <v>216</v>
      </c>
      <c r="H255" s="67">
        <f>50+1368</f>
        <v>1418</v>
      </c>
      <c r="I255" s="67">
        <f>12+24</f>
        <v>36</v>
      </c>
      <c r="J255" s="67">
        <f>+'INVENTARIO ENERO-MARZO 2021'!$H255-'INVENTARIO ENERO-MARZO 2021'!$I255</f>
        <v>1382</v>
      </c>
      <c r="K255" s="67"/>
      <c r="L255" s="67"/>
      <c r="M255" s="67">
        <f>5+5+5+24+6+12+24+2+6+6+24+12+24</f>
        <v>155</v>
      </c>
      <c r="N255" s="67">
        <f>24+24+12+24+24+12+12+12+24+24</f>
        <v>192</v>
      </c>
      <c r="O255" s="67">
        <f>+Tabla1[[#This Row],[STOCK    FISICO ENERO 2021]]-Tabla1[[#This Row],[REQUISICIONES FEBRERO 2021]]</f>
        <v>1227</v>
      </c>
      <c r="P255" s="67">
        <f>+Tabla1[[#This Row],[STOCK  FEBRERO 2021]]-Tabla1[[#This Row],[REQUISICIONES MARZO 2021]]+Tabla1[[#This Row],[ENTRADAS MARZO 2021]]</f>
        <v>1035</v>
      </c>
      <c r="Q255" s="49" t="s">
        <v>217</v>
      </c>
      <c r="R255" s="53">
        <v>83.583333333333329</v>
      </c>
      <c r="S255" s="36">
        <f t="shared" si="10"/>
        <v>98.62833333333333</v>
      </c>
      <c r="T255" s="100">
        <f>Tabla1[[#This Row],[STOCK MARZO ]]*Tabla1[[#This Row],[COSTO UNITARIO SIN ITBIS]]</f>
        <v>86508.75</v>
      </c>
    </row>
    <row r="256" spans="1:20" s="9" customFormat="1" x14ac:dyDescent="0.25">
      <c r="A256" s="96">
        <v>47</v>
      </c>
      <c r="B256" s="43">
        <v>44175</v>
      </c>
      <c r="C256" s="35" t="s">
        <v>11</v>
      </c>
      <c r="D256" s="43">
        <v>43633</v>
      </c>
      <c r="E256" s="150"/>
      <c r="F256" s="52">
        <v>1270</v>
      </c>
      <c r="G256" s="49" t="s">
        <v>675</v>
      </c>
      <c r="H256" s="67">
        <f>44+606</f>
        <v>650</v>
      </c>
      <c r="I256" s="67">
        <f>6+1+2+42+12+2</f>
        <v>65</v>
      </c>
      <c r="J256" s="67">
        <f>+'INVENTARIO ENERO-MARZO 2021'!$H256-'INVENTARIO ENERO-MARZO 2021'!$I256</f>
        <v>585</v>
      </c>
      <c r="K256" s="67"/>
      <c r="L256" s="67"/>
      <c r="M256" s="67">
        <f>12+1+12+12+1+6+1+12+6+12</f>
        <v>75</v>
      </c>
      <c r="N256" s="67">
        <f>1+12+6+12+12+1+12+12+12+12+6+12+6+12+18+24</f>
        <v>170</v>
      </c>
      <c r="O256" s="67">
        <f>+Tabla1[[#This Row],[STOCK    FISICO ENERO 2021]]-Tabla1[[#This Row],[REQUISICIONES FEBRERO 2021]]</f>
        <v>510</v>
      </c>
      <c r="P256" s="67">
        <f>+Tabla1[[#This Row],[STOCK  FEBRERO 2021]]-Tabla1[[#This Row],[REQUISICIONES MARZO 2021]]+Tabla1[[#This Row],[ENTRADAS MARZO 2021]]</f>
        <v>340</v>
      </c>
      <c r="Q256" s="49" t="s">
        <v>217</v>
      </c>
      <c r="R256" s="53">
        <v>107.66666666666667</v>
      </c>
      <c r="S256" s="36">
        <f t="shared" si="10"/>
        <v>127.04666666666667</v>
      </c>
      <c r="T256" s="100">
        <f>Tabla1[[#This Row],[STOCK MARZO ]]*Tabla1[[#This Row],[COSTO UNITARIO SIN ITBIS]]</f>
        <v>36606.666666666672</v>
      </c>
    </row>
    <row r="257" spans="1:20" s="9" customFormat="1" x14ac:dyDescent="0.25">
      <c r="A257" s="96">
        <v>48</v>
      </c>
      <c r="B257" s="32">
        <v>44281</v>
      </c>
      <c r="C257" s="35" t="s">
        <v>11</v>
      </c>
      <c r="D257" s="32">
        <v>44267</v>
      </c>
      <c r="E257" s="148" t="s">
        <v>792</v>
      </c>
      <c r="F257" s="29"/>
      <c r="G257" s="49" t="s">
        <v>790</v>
      </c>
      <c r="H257" s="64"/>
      <c r="I257" s="64"/>
      <c r="J257" s="64">
        <f>+'INVENTARIO ENERO-MARZO 2021'!$H257-'INVENTARIO ENERO-MARZO 2021'!$I257</f>
        <v>0</v>
      </c>
      <c r="K257" s="64"/>
      <c r="L257" s="64">
        <f>300*12</f>
        <v>3600</v>
      </c>
      <c r="M257" s="64"/>
      <c r="N257" s="64"/>
      <c r="O257" s="136">
        <f>+Tabla1[[#This Row],[STOCK    FISICO ENERO 2021]]-Tabla1[[#This Row],[REQUISICIONES FEBRERO 2021]]</f>
        <v>0</v>
      </c>
      <c r="P257" s="136">
        <f>+Tabla1[[#This Row],[STOCK  FEBRERO 2021]]-Tabla1[[#This Row],[REQUISICIONES MARZO 2021]]+Tabla1[[#This Row],[ENTRADAS MARZO 2021]]</f>
        <v>3600</v>
      </c>
      <c r="Q257" s="49" t="s">
        <v>217</v>
      </c>
      <c r="R257" s="35">
        <v>82.5</v>
      </c>
      <c r="S257" s="100">
        <f t="shared" si="10"/>
        <v>97.35</v>
      </c>
      <c r="T257" s="100">
        <f>Tabla1[[#This Row],[STOCK MARZO ]]*Tabla1[[#This Row],[COSTO UNITARIO SIN ITBIS]]</f>
        <v>297000</v>
      </c>
    </row>
    <row r="258" spans="1:20" s="9" customFormat="1" x14ac:dyDescent="0.25">
      <c r="A258" s="96">
        <v>49</v>
      </c>
      <c r="B258" s="32">
        <v>44281</v>
      </c>
      <c r="C258" s="35" t="s">
        <v>11</v>
      </c>
      <c r="D258" s="32">
        <v>44267</v>
      </c>
      <c r="E258" s="148" t="s">
        <v>792</v>
      </c>
      <c r="F258" s="29"/>
      <c r="G258" s="49" t="s">
        <v>791</v>
      </c>
      <c r="H258" s="64"/>
      <c r="I258" s="64"/>
      <c r="J258" s="64">
        <f>+'INVENTARIO ENERO-MARZO 2021'!$H258-'INVENTARIO ENERO-MARZO 2021'!$I258</f>
        <v>0</v>
      </c>
      <c r="K258" s="64"/>
      <c r="L258" s="64">
        <f>125*6</f>
        <v>750</v>
      </c>
      <c r="M258" s="64"/>
      <c r="N258" s="64"/>
      <c r="O258" s="136">
        <f>+Tabla1[[#This Row],[STOCK    FISICO ENERO 2021]]-Tabla1[[#This Row],[REQUISICIONES FEBRERO 2021]]</f>
        <v>0</v>
      </c>
      <c r="P258" s="136">
        <f>+Tabla1[[#This Row],[STOCK  FEBRERO 2021]]-Tabla1[[#This Row],[REQUISICIONES MARZO 2021]]+Tabla1[[#This Row],[ENTRADAS MARZO 2021]]</f>
        <v>750</v>
      </c>
      <c r="Q258" s="49" t="s">
        <v>217</v>
      </c>
      <c r="R258" s="35">
        <v>136.66666666666666</v>
      </c>
      <c r="S258" s="100">
        <f t="shared" si="10"/>
        <v>161.26666666666665</v>
      </c>
      <c r="T258" s="100">
        <f>Tabla1[[#This Row],[STOCK MARZO ]]*Tabla1[[#This Row],[COSTO UNITARIO SIN ITBIS]]</f>
        <v>102500</v>
      </c>
    </row>
    <row r="259" spans="1:20" s="9" customFormat="1" x14ac:dyDescent="0.25">
      <c r="A259" s="96">
        <v>50</v>
      </c>
      <c r="B259" s="43">
        <v>44028</v>
      </c>
      <c r="C259" s="42" t="s">
        <v>11</v>
      </c>
      <c r="D259" s="43">
        <v>44028</v>
      </c>
      <c r="E259" s="150"/>
      <c r="F259" s="44">
        <v>1824</v>
      </c>
      <c r="G259" s="41" t="s">
        <v>218</v>
      </c>
      <c r="H259" s="66">
        <v>0</v>
      </c>
      <c r="I259" s="66"/>
      <c r="J259" s="66">
        <f>+'INVENTARIO ENERO-MARZO 2021'!$H259-'INVENTARIO ENERO-MARZO 2021'!$I259+1</f>
        <v>1</v>
      </c>
      <c r="K259" s="66"/>
      <c r="L259" s="66"/>
      <c r="M259" s="66">
        <v>1</v>
      </c>
      <c r="N259" s="66"/>
      <c r="O259" s="66">
        <f>+Tabla1[[#This Row],[STOCK    FISICO ENERO 2021]]-Tabla1[[#This Row],[REQUISICIONES FEBRERO 2021]]</f>
        <v>0</v>
      </c>
      <c r="P259" s="66">
        <f>+Tabla1[[#This Row],[STOCK  FEBRERO 2021]]-Tabla1[[#This Row],[REQUISICIONES MARZO 2021]]+Tabla1[[#This Row],[ENTRADAS MARZO 2021]]</f>
        <v>0</v>
      </c>
      <c r="Q259" s="41" t="s">
        <v>112</v>
      </c>
      <c r="R259" s="46">
        <v>108.24</v>
      </c>
      <c r="S259" s="36">
        <f t="shared" si="10"/>
        <v>127.72319999999999</v>
      </c>
      <c r="T259" s="100">
        <f>Tabla1[[#This Row],[STOCK MARZO ]]*Tabla1[[#This Row],[COSTO UNITARIO SIN ITBIS]]</f>
        <v>0</v>
      </c>
    </row>
    <row r="260" spans="1:20" s="13" customFormat="1" x14ac:dyDescent="0.25">
      <c r="A260" s="96">
        <v>51</v>
      </c>
      <c r="B260" s="43">
        <v>43636</v>
      </c>
      <c r="C260" s="42" t="s">
        <v>11</v>
      </c>
      <c r="D260" s="43">
        <v>43633</v>
      </c>
      <c r="E260" s="150"/>
      <c r="F260" s="44">
        <v>1274</v>
      </c>
      <c r="G260" s="41" t="s">
        <v>219</v>
      </c>
      <c r="H260" s="66">
        <f>2+3</f>
        <v>5</v>
      </c>
      <c r="I260" s="66"/>
      <c r="J260" s="66">
        <f>+'INVENTARIO ENERO-MARZO 2021'!$H260-'INVENTARIO ENERO-MARZO 2021'!$I260</f>
        <v>5</v>
      </c>
      <c r="K260" s="66"/>
      <c r="L260" s="66"/>
      <c r="M260" s="66"/>
      <c r="N260" s="66"/>
      <c r="O260" s="66">
        <f>+Tabla1[[#This Row],[STOCK    FISICO ENERO 2021]]-Tabla1[[#This Row],[REQUISICIONES FEBRERO 2021]]</f>
        <v>5</v>
      </c>
      <c r="P260" s="66">
        <f>+Tabla1[[#This Row],[STOCK  FEBRERO 2021]]-Tabla1[[#This Row],[REQUISICIONES MARZO 2021]]+Tabla1[[#This Row],[ENTRADAS MARZO 2021]]</f>
        <v>5</v>
      </c>
      <c r="Q260" s="41" t="s">
        <v>12</v>
      </c>
      <c r="R260" s="46">
        <v>879.3</v>
      </c>
      <c r="S260" s="36">
        <f t="shared" si="10"/>
        <v>1037.5739999999998</v>
      </c>
      <c r="T260" s="100">
        <f>Tabla1[[#This Row],[STOCK MARZO ]]*Tabla1[[#This Row],[COSTO UNITARIO SIN ITBIS]]</f>
        <v>4396.5</v>
      </c>
    </row>
    <row r="261" spans="1:20" s="13" customFormat="1" x14ac:dyDescent="0.25">
      <c r="A261" s="96">
        <v>52</v>
      </c>
      <c r="B261" s="43">
        <v>43636</v>
      </c>
      <c r="C261" s="42" t="s">
        <v>11</v>
      </c>
      <c r="D261" s="43">
        <v>43633</v>
      </c>
      <c r="E261" s="150"/>
      <c r="F261" s="44">
        <v>1464</v>
      </c>
      <c r="G261" s="41" t="s">
        <v>220</v>
      </c>
      <c r="H261" s="66"/>
      <c r="I261" s="66"/>
      <c r="J261" s="66">
        <f>+'INVENTARIO ENERO-MARZO 2021'!$H261-'INVENTARIO ENERO-MARZO 2021'!$I261</f>
        <v>0</v>
      </c>
      <c r="K261" s="66"/>
      <c r="L261" s="66"/>
      <c r="M261" s="66"/>
      <c r="N261" s="66"/>
      <c r="O261" s="66">
        <f>+Tabla1[[#This Row],[STOCK    FISICO ENERO 2021]]-Tabla1[[#This Row],[REQUISICIONES FEBRERO 2021]]</f>
        <v>0</v>
      </c>
      <c r="P261" s="66">
        <f>+Tabla1[[#This Row],[STOCK  FEBRERO 2021]]-Tabla1[[#This Row],[REQUISICIONES MARZO 2021]]+Tabla1[[#This Row],[ENTRADAS MARZO 2021]]</f>
        <v>0</v>
      </c>
      <c r="Q261" s="41" t="s">
        <v>12</v>
      </c>
      <c r="R261" s="46">
        <v>466.1</v>
      </c>
      <c r="S261" s="36">
        <f t="shared" si="10"/>
        <v>549.99800000000005</v>
      </c>
      <c r="T261" s="100">
        <f>Tabla1[[#This Row],[STOCK MARZO ]]*Tabla1[[#This Row],[COSTO UNITARIO SIN ITBIS]]</f>
        <v>0</v>
      </c>
    </row>
    <row r="262" spans="1:20" s="9" customFormat="1" x14ac:dyDescent="0.25">
      <c r="A262" s="96">
        <v>53</v>
      </c>
      <c r="B262" s="43">
        <v>43192</v>
      </c>
      <c r="C262" s="42" t="s">
        <v>11</v>
      </c>
      <c r="D262" s="43">
        <v>43192</v>
      </c>
      <c r="E262" s="150"/>
      <c r="F262" s="44">
        <v>1278</v>
      </c>
      <c r="G262" s="41" t="s">
        <v>221</v>
      </c>
      <c r="H262" s="66"/>
      <c r="I262" s="66"/>
      <c r="J262" s="66">
        <f>+'INVENTARIO ENERO-MARZO 2021'!$H262-'INVENTARIO ENERO-MARZO 2021'!$I262</f>
        <v>0</v>
      </c>
      <c r="K262" s="66"/>
      <c r="L262" s="66"/>
      <c r="M262" s="66"/>
      <c r="N262" s="66"/>
      <c r="O262" s="66">
        <f>+Tabla1[[#This Row],[STOCK    FISICO ENERO 2021]]-Tabla1[[#This Row],[REQUISICIONES FEBRERO 2021]]</f>
        <v>0</v>
      </c>
      <c r="P262" s="66">
        <f>+Tabla1[[#This Row],[STOCK  FEBRERO 2021]]-Tabla1[[#This Row],[REQUISICIONES MARZO 2021]]+Tabla1[[#This Row],[ENTRADAS MARZO 2021]]</f>
        <v>0</v>
      </c>
      <c r="Q262" s="41" t="s">
        <v>12</v>
      </c>
      <c r="R262" s="46">
        <v>560</v>
      </c>
      <c r="S262" s="36">
        <f t="shared" si="10"/>
        <v>660.8</v>
      </c>
      <c r="T262" s="100">
        <f>Tabla1[[#This Row],[STOCK MARZO ]]*Tabla1[[#This Row],[COSTO UNITARIO SIN ITBIS]]</f>
        <v>0</v>
      </c>
    </row>
    <row r="263" spans="1:20" s="9" customFormat="1" x14ac:dyDescent="0.25">
      <c r="A263" s="96">
        <v>54</v>
      </c>
      <c r="B263" s="43">
        <v>43636</v>
      </c>
      <c r="C263" s="42" t="s">
        <v>11</v>
      </c>
      <c r="D263" s="43">
        <v>43633</v>
      </c>
      <c r="E263" s="150"/>
      <c r="F263" s="44">
        <v>1469</v>
      </c>
      <c r="G263" s="41" t="s">
        <v>222</v>
      </c>
      <c r="H263" s="66">
        <f>48+36</f>
        <v>84</v>
      </c>
      <c r="I263" s="66">
        <f>2+2</f>
        <v>4</v>
      </c>
      <c r="J263" s="66">
        <f>+'INVENTARIO ENERO-MARZO 2021'!$H263-'INVENTARIO ENERO-MARZO 2021'!$I263</f>
        <v>80</v>
      </c>
      <c r="K263" s="66"/>
      <c r="L263" s="66"/>
      <c r="M263" s="66">
        <f>1+1+1+2</f>
        <v>5</v>
      </c>
      <c r="N263" s="66">
        <v>2</v>
      </c>
      <c r="O263" s="66">
        <f>+Tabla1[[#This Row],[STOCK    FISICO ENERO 2021]]-Tabla1[[#This Row],[REQUISICIONES FEBRERO 2021]]</f>
        <v>75</v>
      </c>
      <c r="P263" s="66">
        <f>+Tabla1[[#This Row],[STOCK  FEBRERO 2021]]-Tabla1[[#This Row],[REQUISICIONES MARZO 2021]]+Tabla1[[#This Row],[ENTRADAS MARZO 2021]]</f>
        <v>73</v>
      </c>
      <c r="Q263" s="41" t="s">
        <v>12</v>
      </c>
      <c r="R263" s="46">
        <v>109.74</v>
      </c>
      <c r="S263" s="36">
        <f t="shared" si="10"/>
        <v>129.4932</v>
      </c>
      <c r="T263" s="100">
        <f>Tabla1[[#This Row],[STOCK MARZO ]]*Tabla1[[#This Row],[COSTO UNITARIO SIN ITBIS]]</f>
        <v>8011.0199999999995</v>
      </c>
    </row>
    <row r="264" spans="1:20" s="9" customFormat="1" x14ac:dyDescent="0.25">
      <c r="A264" s="96">
        <v>55</v>
      </c>
      <c r="B264" s="43">
        <v>43636</v>
      </c>
      <c r="C264" s="42" t="s">
        <v>11</v>
      </c>
      <c r="D264" s="43">
        <v>43633</v>
      </c>
      <c r="E264" s="150"/>
      <c r="F264" s="44">
        <v>1179</v>
      </c>
      <c r="G264" s="41" t="s">
        <v>223</v>
      </c>
      <c r="H264" s="66">
        <f>61+36</f>
        <v>97</v>
      </c>
      <c r="I264" s="66"/>
      <c r="J264" s="66">
        <f>+'INVENTARIO ENERO-MARZO 2021'!$H264-'INVENTARIO ENERO-MARZO 2021'!$I264</f>
        <v>97</v>
      </c>
      <c r="K264" s="66"/>
      <c r="L264" s="66"/>
      <c r="M264" s="66"/>
      <c r="N264" s="66">
        <v>2</v>
      </c>
      <c r="O264" s="66">
        <f>+Tabla1[[#This Row],[STOCK    FISICO ENERO 2021]]-Tabla1[[#This Row],[REQUISICIONES FEBRERO 2021]]</f>
        <v>97</v>
      </c>
      <c r="P264" s="66">
        <f>+Tabla1[[#This Row],[STOCK  FEBRERO 2021]]-Tabla1[[#This Row],[REQUISICIONES MARZO 2021]]+Tabla1[[#This Row],[ENTRADAS MARZO 2021]]</f>
        <v>95</v>
      </c>
      <c r="Q264" s="41" t="s">
        <v>12</v>
      </c>
      <c r="R264" s="46">
        <v>147</v>
      </c>
      <c r="S264" s="36">
        <f t="shared" si="10"/>
        <v>173.46</v>
      </c>
      <c r="T264" s="100">
        <f>Tabla1[[#This Row],[STOCK MARZO ]]*Tabla1[[#This Row],[COSTO UNITARIO SIN ITBIS]]</f>
        <v>13965</v>
      </c>
    </row>
    <row r="265" spans="1:20" s="9" customFormat="1" x14ac:dyDescent="0.25">
      <c r="A265" s="96">
        <v>56</v>
      </c>
      <c r="B265" s="43">
        <v>43453</v>
      </c>
      <c r="C265" s="42" t="s">
        <v>11</v>
      </c>
      <c r="D265" s="43">
        <v>43453</v>
      </c>
      <c r="E265" s="150"/>
      <c r="F265" s="44">
        <v>1273</v>
      </c>
      <c r="G265" s="41" t="s">
        <v>224</v>
      </c>
      <c r="H265" s="66">
        <v>28</v>
      </c>
      <c r="I265" s="66"/>
      <c r="J265" s="66">
        <f>+'INVENTARIO ENERO-MARZO 2021'!$H265-'INVENTARIO ENERO-MARZO 2021'!$I265</f>
        <v>28</v>
      </c>
      <c r="K265" s="66"/>
      <c r="L265" s="66"/>
      <c r="M265" s="66">
        <f>6+3+1+6+2</f>
        <v>18</v>
      </c>
      <c r="N265" s="66">
        <f>3+6</f>
        <v>9</v>
      </c>
      <c r="O265" s="66">
        <f>+Tabla1[[#This Row],[STOCK    FISICO ENERO 2021]]-Tabla1[[#This Row],[REQUISICIONES FEBRERO 2021]]</f>
        <v>10</v>
      </c>
      <c r="P265" s="66">
        <f>+Tabla1[[#This Row],[STOCK  FEBRERO 2021]]-Tabla1[[#This Row],[REQUISICIONES MARZO 2021]]+Tabla1[[#This Row],[ENTRADAS MARZO 2021]]</f>
        <v>1</v>
      </c>
      <c r="Q265" s="41" t="s">
        <v>12</v>
      </c>
      <c r="R265" s="46">
        <v>94.4</v>
      </c>
      <c r="S265" s="36">
        <f t="shared" si="10"/>
        <v>111.39200000000001</v>
      </c>
      <c r="T265" s="100">
        <f>Tabla1[[#This Row],[STOCK MARZO ]]*Tabla1[[#This Row],[COSTO UNITARIO SIN ITBIS]]</f>
        <v>94.4</v>
      </c>
    </row>
    <row r="266" spans="1:20" s="9" customFormat="1" x14ac:dyDescent="0.25">
      <c r="A266" s="96">
        <v>57</v>
      </c>
      <c r="B266" s="127">
        <v>44286</v>
      </c>
      <c r="C266" s="42" t="s">
        <v>11</v>
      </c>
      <c r="D266" s="127">
        <v>44286</v>
      </c>
      <c r="E266" s="149"/>
      <c r="F266" s="129"/>
      <c r="G266" s="130" t="s">
        <v>825</v>
      </c>
      <c r="H266" s="131"/>
      <c r="I266" s="131"/>
      <c r="J266" s="131">
        <f>+'INVENTARIO ENERO-MARZO 2021'!$H266-'INVENTARIO ENERO-MARZO 2021'!$I266</f>
        <v>0</v>
      </c>
      <c r="K266" s="131"/>
      <c r="L266" s="131">
        <v>72</v>
      </c>
      <c r="M266" s="131"/>
      <c r="N266" s="131"/>
      <c r="O266" s="132">
        <f>+Tabla1[[#This Row],[STOCK    FISICO ENERO 2021]]-Tabla1[[#This Row],[REQUISICIONES FEBRERO 2021]]</f>
        <v>0</v>
      </c>
      <c r="P266" s="132">
        <f>+Tabla1[[#This Row],[STOCK  FEBRERO 2021]]-Tabla1[[#This Row],[REQUISICIONES MARZO 2021]]+Tabla1[[#This Row],[ENTRADAS MARZO 2021]]</f>
        <v>72</v>
      </c>
      <c r="Q266" s="41" t="s">
        <v>12</v>
      </c>
      <c r="R266" s="133">
        <v>45</v>
      </c>
      <c r="S266" s="36">
        <f t="shared" si="10"/>
        <v>53.1</v>
      </c>
      <c r="T266" s="100">
        <f>Tabla1[[#This Row],[STOCK MARZO ]]*Tabla1[[#This Row],[COSTO UNITARIO SIN ITBIS]]</f>
        <v>3240</v>
      </c>
    </row>
    <row r="267" spans="1:20" s="9" customFormat="1" x14ac:dyDescent="0.25">
      <c r="A267" s="96">
        <v>58</v>
      </c>
      <c r="B267" s="43"/>
      <c r="C267" s="42" t="s">
        <v>11</v>
      </c>
      <c r="D267" s="43"/>
      <c r="E267" s="150"/>
      <c r="F267" s="69"/>
      <c r="G267" s="41" t="s">
        <v>225</v>
      </c>
      <c r="H267" s="66">
        <v>1</v>
      </c>
      <c r="I267" s="66">
        <v>3</v>
      </c>
      <c r="J267" s="66">
        <f>+'INVENTARIO ENERO-MARZO 2021'!$H267-'INVENTARIO ENERO-MARZO 2021'!$I27-1</f>
        <v>0</v>
      </c>
      <c r="K267" s="66"/>
      <c r="L267" s="66"/>
      <c r="M267" s="66"/>
      <c r="N267" s="66"/>
      <c r="O267" s="66">
        <f>+Tabla1[[#This Row],[STOCK    FISICO ENERO 2021]]-Tabla1[[#This Row],[REQUISICIONES FEBRERO 2021]]</f>
        <v>0</v>
      </c>
      <c r="P267" s="66">
        <f>+Tabla1[[#This Row],[STOCK  FEBRERO 2021]]-Tabla1[[#This Row],[REQUISICIONES MARZO 2021]]+Tabla1[[#This Row],[ENTRADAS MARZO 2021]]</f>
        <v>0</v>
      </c>
      <c r="Q267" s="41" t="s">
        <v>12</v>
      </c>
      <c r="R267" s="46">
        <v>0</v>
      </c>
      <c r="S267" s="36">
        <f t="shared" si="10"/>
        <v>0</v>
      </c>
      <c r="T267" s="100">
        <f>Tabla1[[#This Row],[STOCK MARZO ]]*Tabla1[[#This Row],[COSTO UNITARIO SIN ITBIS]]</f>
        <v>0</v>
      </c>
    </row>
    <row r="268" spans="1:20" s="9" customFormat="1" x14ac:dyDescent="0.25">
      <c r="A268" s="96">
        <v>59</v>
      </c>
      <c r="B268" s="43">
        <v>43287</v>
      </c>
      <c r="C268" s="42" t="s">
        <v>11</v>
      </c>
      <c r="D268" s="43">
        <v>43287</v>
      </c>
      <c r="E268" s="150"/>
      <c r="F268" s="44">
        <v>1262</v>
      </c>
      <c r="G268" s="41" t="s">
        <v>226</v>
      </c>
      <c r="H268" s="66">
        <v>0</v>
      </c>
      <c r="I268" s="66"/>
      <c r="J268" s="66">
        <f>+'INVENTARIO ENERO-MARZO 2021'!$H268-'INVENTARIO ENERO-MARZO 2021'!$I268</f>
        <v>0</v>
      </c>
      <c r="K268" s="66"/>
      <c r="L268" s="66"/>
      <c r="M268" s="66"/>
      <c r="N268" s="66"/>
      <c r="O268" s="66">
        <f>+Tabla1[[#This Row],[STOCK    FISICO ENERO 2021]]-Tabla1[[#This Row],[REQUISICIONES FEBRERO 2021]]</f>
        <v>0</v>
      </c>
      <c r="P268" s="66">
        <f>+Tabla1[[#This Row],[STOCK  FEBRERO 2021]]-Tabla1[[#This Row],[REQUISICIONES MARZO 2021]]+Tabla1[[#This Row],[ENTRADAS MARZO 2021]]</f>
        <v>0</v>
      </c>
      <c r="Q268" s="41" t="s">
        <v>12</v>
      </c>
      <c r="R268" s="46">
        <v>300</v>
      </c>
      <c r="S268" s="36">
        <f t="shared" si="10"/>
        <v>354</v>
      </c>
      <c r="T268" s="100">
        <f>Tabla1[[#This Row],[STOCK MARZO ]]*Tabla1[[#This Row],[COSTO UNITARIO SIN ITBIS]]</f>
        <v>0</v>
      </c>
    </row>
    <row r="269" spans="1:20" s="9" customFormat="1" x14ac:dyDescent="0.25">
      <c r="A269" s="96">
        <v>60</v>
      </c>
      <c r="B269" s="43"/>
      <c r="C269" s="42" t="s">
        <v>11</v>
      </c>
      <c r="D269" s="43"/>
      <c r="E269" s="150"/>
      <c r="F269" s="44"/>
      <c r="G269" s="41" t="s">
        <v>672</v>
      </c>
      <c r="H269" s="66">
        <v>0</v>
      </c>
      <c r="I269" s="66"/>
      <c r="J269" s="66">
        <f>+'INVENTARIO ENERO-MARZO 2021'!$H269-'INVENTARIO ENERO-MARZO 2021'!$I269</f>
        <v>0</v>
      </c>
      <c r="K269" s="66"/>
      <c r="L269" s="66"/>
      <c r="M269" s="66"/>
      <c r="N269" s="66"/>
      <c r="O269" s="66">
        <f>+Tabla1[[#This Row],[STOCK    FISICO ENERO 2021]]-Tabla1[[#This Row],[REQUISICIONES FEBRERO 2021]]</f>
        <v>0</v>
      </c>
      <c r="P269" s="66">
        <f>+Tabla1[[#This Row],[STOCK  FEBRERO 2021]]-Tabla1[[#This Row],[REQUISICIONES MARZO 2021]]+Tabla1[[#This Row],[ENTRADAS MARZO 2021]]</f>
        <v>0</v>
      </c>
      <c r="Q269" s="41" t="s">
        <v>12</v>
      </c>
      <c r="R269" s="46">
        <v>746.25</v>
      </c>
      <c r="S269" s="36">
        <f t="shared" si="10"/>
        <v>880.57500000000005</v>
      </c>
      <c r="T269" s="100">
        <f>Tabla1[[#This Row],[STOCK MARZO ]]*Tabla1[[#This Row],[COSTO UNITARIO SIN ITBIS]]</f>
        <v>0</v>
      </c>
    </row>
    <row r="270" spans="1:20" s="9" customFormat="1" x14ac:dyDescent="0.25">
      <c r="A270" s="96">
        <v>61</v>
      </c>
      <c r="B270" s="43">
        <v>43192</v>
      </c>
      <c r="C270" s="42" t="s">
        <v>11</v>
      </c>
      <c r="D270" s="43">
        <v>43192</v>
      </c>
      <c r="E270" s="150"/>
      <c r="F270" s="44">
        <v>1282</v>
      </c>
      <c r="G270" s="41" t="s">
        <v>227</v>
      </c>
      <c r="H270" s="66">
        <v>0</v>
      </c>
      <c r="I270" s="66"/>
      <c r="J270" s="66">
        <f>+'INVENTARIO ENERO-MARZO 2021'!$H270-'INVENTARIO ENERO-MARZO 2021'!$I270</f>
        <v>0</v>
      </c>
      <c r="K270" s="66"/>
      <c r="L270" s="66"/>
      <c r="M270" s="66"/>
      <c r="N270" s="66"/>
      <c r="O270" s="66">
        <f>+Tabla1[[#This Row],[STOCK    FISICO ENERO 2021]]-Tabla1[[#This Row],[REQUISICIONES FEBRERO 2021]]</f>
        <v>0</v>
      </c>
      <c r="P270" s="66">
        <f>+Tabla1[[#This Row],[STOCK  FEBRERO 2021]]-Tabla1[[#This Row],[REQUISICIONES MARZO 2021]]+Tabla1[[#This Row],[ENTRADAS MARZO 2021]]</f>
        <v>0</v>
      </c>
      <c r="Q270" s="41" t="s">
        <v>12</v>
      </c>
      <c r="R270" s="46">
        <v>300</v>
      </c>
      <c r="S270" s="36">
        <f t="shared" si="10"/>
        <v>354</v>
      </c>
      <c r="T270" s="100">
        <f>Tabla1[[#This Row],[STOCK MARZO ]]*Tabla1[[#This Row],[COSTO UNITARIO SIN ITBIS]]</f>
        <v>0</v>
      </c>
    </row>
    <row r="271" spans="1:20" s="9" customFormat="1" x14ac:dyDescent="0.25">
      <c r="A271" s="96">
        <v>62</v>
      </c>
      <c r="B271" s="43"/>
      <c r="C271" s="42"/>
      <c r="D271" s="43"/>
      <c r="E271" s="150"/>
      <c r="F271" s="44"/>
      <c r="G271" s="41" t="s">
        <v>685</v>
      </c>
      <c r="H271" s="66">
        <v>1</v>
      </c>
      <c r="I271" s="66">
        <v>1</v>
      </c>
      <c r="J271" s="66">
        <f>+'INVENTARIO ENERO-MARZO 2021'!$H271-'INVENTARIO ENERO-MARZO 2021'!$I271</f>
        <v>0</v>
      </c>
      <c r="K271" s="66"/>
      <c r="L271" s="66"/>
      <c r="M271" s="66"/>
      <c r="N271" s="66"/>
      <c r="O271" s="66">
        <f>+Tabla1[[#This Row],[STOCK    FISICO ENERO 2021]]-Tabla1[[#This Row],[REQUISICIONES FEBRERO 2021]]</f>
        <v>0</v>
      </c>
      <c r="P271" s="66">
        <f>+Tabla1[[#This Row],[STOCK  FEBRERO 2021]]-Tabla1[[#This Row],[REQUISICIONES MARZO 2021]]+Tabla1[[#This Row],[ENTRADAS MARZO 2021]]</f>
        <v>0</v>
      </c>
      <c r="Q271" s="41" t="s">
        <v>12</v>
      </c>
      <c r="R271" s="46"/>
      <c r="S271" s="36"/>
      <c r="T271" s="100">
        <f>Tabla1[[#This Row],[STOCK MARZO ]]*Tabla1[[#This Row],[COSTO UNITARIO SIN ITBIS]]</f>
        <v>0</v>
      </c>
    </row>
    <row r="272" spans="1:20" s="9" customFormat="1" x14ac:dyDescent="0.25">
      <c r="A272" s="96">
        <v>63</v>
      </c>
      <c r="B272" s="43"/>
      <c r="C272" s="42" t="s">
        <v>11</v>
      </c>
      <c r="D272" s="43"/>
      <c r="E272" s="150"/>
      <c r="F272" s="44" t="s">
        <v>23</v>
      </c>
      <c r="G272" s="41" t="s">
        <v>228</v>
      </c>
      <c r="H272" s="66">
        <v>0</v>
      </c>
      <c r="I272" s="66"/>
      <c r="J272" s="66">
        <f>+'INVENTARIO ENERO-MARZO 2021'!$H272-'INVENTARIO ENERO-MARZO 2021'!$I272</f>
        <v>0</v>
      </c>
      <c r="K272" s="66"/>
      <c r="L272" s="66"/>
      <c r="M272" s="66"/>
      <c r="N272" s="66"/>
      <c r="O272" s="66">
        <f>+Tabla1[[#This Row],[STOCK    FISICO ENERO 2021]]-Tabla1[[#This Row],[REQUISICIONES FEBRERO 2021]]</f>
        <v>0</v>
      </c>
      <c r="P272" s="66">
        <f>+Tabla1[[#This Row],[STOCK  FEBRERO 2021]]-Tabla1[[#This Row],[REQUISICIONES MARZO 2021]]+Tabla1[[#This Row],[ENTRADAS MARZO 2021]]</f>
        <v>0</v>
      </c>
      <c r="Q272" s="41" t="s">
        <v>12</v>
      </c>
      <c r="R272" s="46">
        <v>0</v>
      </c>
      <c r="S272" s="36">
        <f>+R272*0.18+R272</f>
        <v>0</v>
      </c>
      <c r="T272" s="100">
        <f>Tabla1[[#This Row],[STOCK MARZO ]]*Tabla1[[#This Row],[COSTO UNITARIO SIN ITBIS]]</f>
        <v>0</v>
      </c>
    </row>
    <row r="273" spans="1:20" s="9" customFormat="1" ht="24.75" thickBot="1" x14ac:dyDescent="0.3">
      <c r="A273" s="57"/>
      <c r="B273" s="57"/>
      <c r="C273" s="57"/>
      <c r="D273" s="57"/>
      <c r="E273" s="152"/>
      <c r="F273" s="57"/>
      <c r="G273" s="57"/>
      <c r="H273" s="58"/>
      <c r="I273" s="58"/>
      <c r="J273" s="58">
        <f>+'INVENTARIO ENERO-MARZO 2021'!$H273-'INVENTARIO ENERO-MARZO 2021'!$I273</f>
        <v>0</v>
      </c>
      <c r="K273" s="58"/>
      <c r="L273" s="58"/>
      <c r="M273" s="58"/>
      <c r="N273" s="58"/>
      <c r="O273" s="58"/>
      <c r="P273" s="58"/>
      <c r="Q273" s="57"/>
      <c r="R273" s="59"/>
      <c r="S273" s="59" t="s">
        <v>764</v>
      </c>
      <c r="T273" s="102">
        <f>SUM(T210:T271)</f>
        <v>878360.2466666667</v>
      </c>
    </row>
    <row r="274" spans="1:20" s="9" customFormat="1" ht="15.75" thickTop="1" x14ac:dyDescent="0.25">
      <c r="A274" s="62" t="s">
        <v>681</v>
      </c>
      <c r="B274" s="62"/>
      <c r="C274" s="62"/>
      <c r="D274" s="62"/>
      <c r="E274" s="103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103"/>
    </row>
    <row r="275" spans="1:20" s="9" customFormat="1" x14ac:dyDescent="0.25">
      <c r="A275" s="96">
        <v>1</v>
      </c>
      <c r="B275" s="32">
        <v>44110</v>
      </c>
      <c r="C275" s="29" t="s">
        <v>11</v>
      </c>
      <c r="D275" s="32">
        <v>44110</v>
      </c>
      <c r="E275" s="148"/>
      <c r="F275" s="29" t="s">
        <v>23</v>
      </c>
      <c r="G275" s="33" t="s">
        <v>229</v>
      </c>
      <c r="H275" s="64">
        <v>8</v>
      </c>
      <c r="I275" s="64"/>
      <c r="J275" s="64">
        <f>+'INVENTARIO ENERO-MARZO 2021'!$H275-'INVENTARIO ENERO-MARZO 2021'!$I275</f>
        <v>8</v>
      </c>
      <c r="K275" s="64"/>
      <c r="L275" s="64"/>
      <c r="M275" s="64">
        <v>1</v>
      </c>
      <c r="N275" s="64"/>
      <c r="O275" s="64">
        <f>+Tabla1[[#This Row],[STOCK    FISICO ENERO 2021]]-Tabla1[[#This Row],[REQUISICIONES FEBRERO 2021]]</f>
        <v>7</v>
      </c>
      <c r="P275" s="64">
        <f>+Tabla1[[#This Row],[STOCK  FEBRERO 2021]]-Tabla1[[#This Row],[REQUISICIONES MARZO 2021]]+Tabla1[[#This Row],[ENTRADAS MARZO 2021]]</f>
        <v>7</v>
      </c>
      <c r="Q275" s="31" t="s">
        <v>230</v>
      </c>
      <c r="R275" s="35">
        <v>0</v>
      </c>
      <c r="S275" s="36">
        <f t="shared" ref="S275:S287" si="11">R275*0.18+R275</f>
        <v>0</v>
      </c>
      <c r="T275" s="100">
        <f>Tabla1[[#This Row],[STOCK MARZO ]]*Tabla1[[#This Row],[COSTO UNITARIO SIN ITBIS]]</f>
        <v>0</v>
      </c>
    </row>
    <row r="276" spans="1:20" s="13" customFormat="1" x14ac:dyDescent="0.25">
      <c r="A276" s="96">
        <v>2</v>
      </c>
      <c r="B276" s="32">
        <v>44167</v>
      </c>
      <c r="C276" s="29" t="s">
        <v>11</v>
      </c>
      <c r="D276" s="32">
        <v>44190</v>
      </c>
      <c r="E276" s="148"/>
      <c r="F276" s="29" t="s">
        <v>23</v>
      </c>
      <c r="G276" s="33" t="s">
        <v>231</v>
      </c>
      <c r="H276" s="64">
        <v>10</v>
      </c>
      <c r="I276" s="64"/>
      <c r="J276" s="64">
        <f>+'INVENTARIO ENERO-MARZO 2021'!$H276-'INVENTARIO ENERO-MARZO 2021'!$I276</f>
        <v>10</v>
      </c>
      <c r="K276" s="64"/>
      <c r="L276" s="64"/>
      <c r="M276" s="64">
        <v>1</v>
      </c>
      <c r="N276" s="64"/>
      <c r="O276" s="64">
        <f>+Tabla1[[#This Row],[STOCK    FISICO ENERO 2021]]-Tabla1[[#This Row],[REQUISICIONES FEBRERO 2021]]</f>
        <v>9</v>
      </c>
      <c r="P276" s="64">
        <f>+Tabla1[[#This Row],[STOCK  FEBRERO 2021]]-Tabla1[[#This Row],[REQUISICIONES MARZO 2021]]+Tabla1[[#This Row],[ENTRADAS MARZO 2021]]</f>
        <v>9</v>
      </c>
      <c r="Q276" s="31" t="s">
        <v>230</v>
      </c>
      <c r="R276" s="35">
        <v>0</v>
      </c>
      <c r="S276" s="36">
        <f t="shared" si="11"/>
        <v>0</v>
      </c>
      <c r="T276" s="100">
        <f>Tabla1[[#This Row],[STOCK MARZO ]]*Tabla1[[#This Row],[COSTO UNITARIO SIN ITBIS]]</f>
        <v>0</v>
      </c>
    </row>
    <row r="277" spans="1:20" s="9" customFormat="1" x14ac:dyDescent="0.25">
      <c r="A277" s="96">
        <v>3</v>
      </c>
      <c r="B277" s="32">
        <v>44167</v>
      </c>
      <c r="C277" s="29" t="s">
        <v>11</v>
      </c>
      <c r="D277" s="32">
        <v>44190</v>
      </c>
      <c r="E277" s="148"/>
      <c r="F277" s="29" t="s">
        <v>23</v>
      </c>
      <c r="G277" s="33" t="s">
        <v>232</v>
      </c>
      <c r="H277" s="64">
        <v>8</v>
      </c>
      <c r="I277" s="64"/>
      <c r="J277" s="64">
        <f>+'INVENTARIO ENERO-MARZO 2021'!$H277-'INVENTARIO ENERO-MARZO 2021'!$I277</f>
        <v>8</v>
      </c>
      <c r="K277" s="64"/>
      <c r="L277" s="64"/>
      <c r="M277" s="64">
        <v>1</v>
      </c>
      <c r="N277" s="64"/>
      <c r="O277" s="64">
        <f>+Tabla1[[#This Row],[STOCK    FISICO ENERO 2021]]-Tabla1[[#This Row],[REQUISICIONES FEBRERO 2021]]</f>
        <v>7</v>
      </c>
      <c r="P277" s="64">
        <f>+Tabla1[[#This Row],[STOCK  FEBRERO 2021]]-Tabla1[[#This Row],[REQUISICIONES MARZO 2021]]+Tabla1[[#This Row],[ENTRADAS MARZO 2021]]</f>
        <v>7</v>
      </c>
      <c r="Q277" s="31" t="s">
        <v>230</v>
      </c>
      <c r="R277" s="35">
        <v>0</v>
      </c>
      <c r="S277" s="36">
        <f t="shared" si="11"/>
        <v>0</v>
      </c>
      <c r="T277" s="100">
        <f>Tabla1[[#This Row],[STOCK MARZO ]]*Tabla1[[#This Row],[COSTO UNITARIO SIN ITBIS]]</f>
        <v>0</v>
      </c>
    </row>
    <row r="278" spans="1:20" s="9" customFormat="1" x14ac:dyDescent="0.25">
      <c r="A278" s="96">
        <v>4</v>
      </c>
      <c r="B278" s="32">
        <v>44167</v>
      </c>
      <c r="C278" s="29" t="s">
        <v>11</v>
      </c>
      <c r="D278" s="32">
        <v>44190</v>
      </c>
      <c r="E278" s="148"/>
      <c r="F278" s="29" t="s">
        <v>23</v>
      </c>
      <c r="G278" s="33" t="s">
        <v>233</v>
      </c>
      <c r="H278" s="64"/>
      <c r="I278" s="64"/>
      <c r="J278" s="64">
        <f>+'INVENTARIO ENERO-MARZO 2021'!$H278-'INVENTARIO ENERO-MARZO 2021'!$I278</f>
        <v>0</v>
      </c>
      <c r="K278" s="64"/>
      <c r="L278" s="64"/>
      <c r="M278" s="64"/>
      <c r="N278" s="64"/>
      <c r="O278" s="64">
        <f>+Tabla1[[#This Row],[STOCK    FISICO ENERO 2021]]-Tabla1[[#This Row],[REQUISICIONES FEBRERO 2021]]</f>
        <v>0</v>
      </c>
      <c r="P278" s="64">
        <f>+Tabla1[[#This Row],[STOCK  FEBRERO 2021]]-Tabla1[[#This Row],[REQUISICIONES MARZO 2021]]+Tabla1[[#This Row],[ENTRADAS MARZO 2021]]</f>
        <v>0</v>
      </c>
      <c r="Q278" s="31" t="s">
        <v>230</v>
      </c>
      <c r="R278" s="35">
        <v>0</v>
      </c>
      <c r="S278" s="36">
        <f t="shared" si="11"/>
        <v>0</v>
      </c>
      <c r="T278" s="100">
        <f>Tabla1[[#This Row],[STOCK MARZO ]]*Tabla1[[#This Row],[COSTO UNITARIO SIN ITBIS]]</f>
        <v>0</v>
      </c>
    </row>
    <row r="279" spans="1:20" s="9" customFormat="1" x14ac:dyDescent="0.25">
      <c r="A279" s="96">
        <v>5</v>
      </c>
      <c r="B279" s="32">
        <v>44167</v>
      </c>
      <c r="C279" s="29" t="s">
        <v>11</v>
      </c>
      <c r="D279" s="32">
        <v>44190</v>
      </c>
      <c r="E279" s="148"/>
      <c r="F279" s="29">
        <v>1493</v>
      </c>
      <c r="G279" s="33" t="s">
        <v>234</v>
      </c>
      <c r="H279" s="64">
        <v>11</v>
      </c>
      <c r="I279" s="64"/>
      <c r="J279" s="64">
        <f>+'INVENTARIO ENERO-MARZO 2021'!$H279-'INVENTARIO ENERO-MARZO 2021'!$I279</f>
        <v>11</v>
      </c>
      <c r="K279" s="64"/>
      <c r="L279" s="64"/>
      <c r="M279" s="64">
        <v>6</v>
      </c>
      <c r="N279" s="64"/>
      <c r="O279" s="64">
        <f>+Tabla1[[#This Row],[STOCK    FISICO ENERO 2021]]-Tabla1[[#This Row],[REQUISICIONES FEBRERO 2021]]</f>
        <v>5</v>
      </c>
      <c r="P279" s="64">
        <f>+Tabla1[[#This Row],[STOCK  FEBRERO 2021]]-Tabla1[[#This Row],[REQUISICIONES MARZO 2021]]+Tabla1[[#This Row],[ENTRADAS MARZO 2021]]</f>
        <v>5</v>
      </c>
      <c r="Q279" s="31" t="s">
        <v>230</v>
      </c>
      <c r="R279" s="35">
        <v>600</v>
      </c>
      <c r="S279" s="36">
        <f t="shared" si="11"/>
        <v>708</v>
      </c>
      <c r="T279" s="100">
        <f>Tabla1[[#This Row],[STOCK MARZO ]]*Tabla1[[#This Row],[COSTO UNITARIO SIN ITBIS]]</f>
        <v>3000</v>
      </c>
    </row>
    <row r="280" spans="1:20" s="9" customFormat="1" x14ac:dyDescent="0.25">
      <c r="A280" s="96">
        <v>6</v>
      </c>
      <c r="B280" s="32">
        <v>44167</v>
      </c>
      <c r="C280" s="29" t="s">
        <v>11</v>
      </c>
      <c r="D280" s="32">
        <v>44190</v>
      </c>
      <c r="E280" s="148"/>
      <c r="F280" s="29" t="s">
        <v>23</v>
      </c>
      <c r="G280" s="33" t="s">
        <v>235</v>
      </c>
      <c r="H280" s="64">
        <v>2</v>
      </c>
      <c r="I280" s="64"/>
      <c r="J280" s="64">
        <f>+'INVENTARIO ENERO-MARZO 2021'!$H280-'INVENTARIO ENERO-MARZO 2021'!$I280</f>
        <v>2</v>
      </c>
      <c r="K280" s="64"/>
      <c r="L280" s="64"/>
      <c r="M280" s="64"/>
      <c r="N280" s="64"/>
      <c r="O280" s="64">
        <f>+Tabla1[[#This Row],[STOCK    FISICO ENERO 2021]]-Tabla1[[#This Row],[REQUISICIONES FEBRERO 2021]]</f>
        <v>2</v>
      </c>
      <c r="P280" s="64">
        <f>+Tabla1[[#This Row],[STOCK  FEBRERO 2021]]-Tabla1[[#This Row],[REQUISICIONES MARZO 2021]]+Tabla1[[#This Row],[ENTRADAS MARZO 2021]]</f>
        <v>2</v>
      </c>
      <c r="Q280" s="31" t="s">
        <v>230</v>
      </c>
      <c r="R280" s="35">
        <v>0</v>
      </c>
      <c r="S280" s="36">
        <f t="shared" si="11"/>
        <v>0</v>
      </c>
      <c r="T280" s="100">
        <f>Tabla1[[#This Row],[STOCK MARZO ]]*Tabla1[[#This Row],[COSTO UNITARIO SIN ITBIS]]</f>
        <v>0</v>
      </c>
    </row>
    <row r="281" spans="1:20" s="9" customFormat="1" x14ac:dyDescent="0.25">
      <c r="A281" s="96">
        <v>7</v>
      </c>
      <c r="B281" s="32">
        <v>44167</v>
      </c>
      <c r="C281" s="29" t="s">
        <v>11</v>
      </c>
      <c r="D281" s="32">
        <v>44190</v>
      </c>
      <c r="E281" s="148"/>
      <c r="F281" s="29" t="s">
        <v>23</v>
      </c>
      <c r="G281" s="33" t="s">
        <v>236</v>
      </c>
      <c r="H281" s="64">
        <v>6</v>
      </c>
      <c r="I281" s="64"/>
      <c r="J281" s="64">
        <f>+'INVENTARIO ENERO-MARZO 2021'!$H281-'INVENTARIO ENERO-MARZO 2021'!$I281</f>
        <v>6</v>
      </c>
      <c r="K281" s="64"/>
      <c r="L281" s="64"/>
      <c r="M281" s="64"/>
      <c r="N281" s="64"/>
      <c r="O281" s="64">
        <f>+Tabla1[[#This Row],[STOCK    FISICO ENERO 2021]]-Tabla1[[#This Row],[REQUISICIONES FEBRERO 2021]]</f>
        <v>6</v>
      </c>
      <c r="P281" s="64">
        <f>+Tabla1[[#This Row],[STOCK  FEBRERO 2021]]-Tabla1[[#This Row],[REQUISICIONES MARZO 2021]]+Tabla1[[#This Row],[ENTRADAS MARZO 2021]]</f>
        <v>6</v>
      </c>
      <c r="Q281" s="31" t="s">
        <v>210</v>
      </c>
      <c r="R281" s="35">
        <v>796.66</v>
      </c>
      <c r="S281" s="36">
        <f t="shared" si="11"/>
        <v>940.05880000000002</v>
      </c>
      <c r="T281" s="100">
        <f>Tabla1[[#This Row],[STOCK MARZO ]]*Tabla1[[#This Row],[COSTO UNITARIO SIN ITBIS]]</f>
        <v>4779.96</v>
      </c>
    </row>
    <row r="282" spans="1:20" s="9" customFormat="1" x14ac:dyDescent="0.25">
      <c r="A282" s="96">
        <v>8</v>
      </c>
      <c r="B282" s="32">
        <v>44110</v>
      </c>
      <c r="C282" s="29" t="s">
        <v>11</v>
      </c>
      <c r="D282" s="32">
        <v>44110</v>
      </c>
      <c r="E282" s="148"/>
      <c r="F282" s="55"/>
      <c r="G282" s="33" t="s">
        <v>237</v>
      </c>
      <c r="H282" s="70">
        <v>2</v>
      </c>
      <c r="I282" s="70"/>
      <c r="J282" s="70">
        <f>+'INVENTARIO ENERO-MARZO 2021'!$H282-'INVENTARIO ENERO-MARZO 2021'!$I282</f>
        <v>2</v>
      </c>
      <c r="K282" s="70"/>
      <c r="L282" s="70"/>
      <c r="M282" s="70"/>
      <c r="N282" s="70"/>
      <c r="O282" s="70">
        <f>+Tabla1[[#This Row],[STOCK    FISICO ENERO 2021]]-Tabla1[[#This Row],[REQUISICIONES FEBRERO 2021]]</f>
        <v>2</v>
      </c>
      <c r="P282" s="70">
        <f>+Tabla1[[#This Row],[STOCK  FEBRERO 2021]]-Tabla1[[#This Row],[REQUISICIONES MARZO 2021]]+Tabla1[[#This Row],[ENTRADAS MARZO 2021]]</f>
        <v>2</v>
      </c>
      <c r="Q282" s="31" t="s">
        <v>12</v>
      </c>
      <c r="R282" s="42">
        <v>16542.29</v>
      </c>
      <c r="S282" s="36">
        <f t="shared" si="11"/>
        <v>19519.9022</v>
      </c>
      <c r="T282" s="100">
        <f>Tabla1[[#This Row],[STOCK MARZO ]]*Tabla1[[#This Row],[COSTO UNITARIO SIN ITBIS]]</f>
        <v>33084.58</v>
      </c>
    </row>
    <row r="283" spans="1:20" s="9" customFormat="1" x14ac:dyDescent="0.25">
      <c r="A283" s="96">
        <v>9</v>
      </c>
      <c r="B283" s="32">
        <v>44110</v>
      </c>
      <c r="C283" s="29" t="s">
        <v>11</v>
      </c>
      <c r="D283" s="32">
        <v>44110</v>
      </c>
      <c r="E283" s="148"/>
      <c r="F283" s="29"/>
      <c r="G283" s="33" t="s">
        <v>238</v>
      </c>
      <c r="H283" s="64">
        <v>1</v>
      </c>
      <c r="I283" s="64">
        <v>1</v>
      </c>
      <c r="J283" s="64">
        <f>+'INVENTARIO ENERO-MARZO 2021'!$H283-'INVENTARIO ENERO-MARZO 2021'!$I283</f>
        <v>0</v>
      </c>
      <c r="K283" s="64"/>
      <c r="L283" s="64"/>
      <c r="M283" s="64"/>
      <c r="N283" s="64"/>
      <c r="O283" s="64">
        <f>+Tabla1[[#This Row],[STOCK    FISICO ENERO 2021]]-Tabla1[[#This Row],[REQUISICIONES FEBRERO 2021]]</f>
        <v>0</v>
      </c>
      <c r="P283" s="64">
        <f>+Tabla1[[#This Row],[STOCK  FEBRERO 2021]]-Tabla1[[#This Row],[REQUISICIONES MARZO 2021]]+Tabla1[[#This Row],[ENTRADAS MARZO 2021]]</f>
        <v>0</v>
      </c>
      <c r="Q283" s="31" t="s">
        <v>12</v>
      </c>
      <c r="R283" s="35">
        <v>2760</v>
      </c>
      <c r="S283" s="36">
        <f t="shared" si="11"/>
        <v>3256.8</v>
      </c>
      <c r="T283" s="100">
        <f>Tabla1[[#This Row],[STOCK MARZO ]]*Tabla1[[#This Row],[COSTO UNITARIO SIN ITBIS]]</f>
        <v>0</v>
      </c>
    </row>
    <row r="284" spans="1:20" s="13" customFormat="1" x14ac:dyDescent="0.25">
      <c r="A284" s="96">
        <v>10</v>
      </c>
      <c r="B284" s="32">
        <v>44110</v>
      </c>
      <c r="C284" s="29" t="s">
        <v>11</v>
      </c>
      <c r="D284" s="32">
        <v>44110</v>
      </c>
      <c r="E284" s="148"/>
      <c r="F284" s="29"/>
      <c r="G284" s="33" t="s">
        <v>239</v>
      </c>
      <c r="H284" s="64">
        <v>2</v>
      </c>
      <c r="I284" s="64"/>
      <c r="J284" s="64">
        <f>+'INVENTARIO ENERO-MARZO 2021'!$H284-'INVENTARIO ENERO-MARZO 2021'!$I284</f>
        <v>2</v>
      </c>
      <c r="K284" s="64"/>
      <c r="L284" s="64"/>
      <c r="M284" s="64"/>
      <c r="N284" s="64"/>
      <c r="O284" s="64">
        <f>+Tabla1[[#This Row],[STOCK    FISICO ENERO 2021]]-Tabla1[[#This Row],[REQUISICIONES FEBRERO 2021]]</f>
        <v>2</v>
      </c>
      <c r="P284" s="64">
        <f>+Tabla1[[#This Row],[STOCK  FEBRERO 2021]]-Tabla1[[#This Row],[REQUISICIONES MARZO 2021]]+Tabla1[[#This Row],[ENTRADAS MARZO 2021]]</f>
        <v>2</v>
      </c>
      <c r="Q284" s="31" t="s">
        <v>210</v>
      </c>
      <c r="R284" s="35">
        <v>5590</v>
      </c>
      <c r="S284" s="36">
        <f t="shared" si="11"/>
        <v>6596.2</v>
      </c>
      <c r="T284" s="100">
        <f>Tabla1[[#This Row],[STOCK MARZO ]]*Tabla1[[#This Row],[COSTO UNITARIO SIN ITBIS]]</f>
        <v>11180</v>
      </c>
    </row>
    <row r="285" spans="1:20" s="9" customFormat="1" x14ac:dyDescent="0.25">
      <c r="A285" s="96">
        <v>11</v>
      </c>
      <c r="B285" s="32">
        <v>44110</v>
      </c>
      <c r="C285" s="29" t="s">
        <v>11</v>
      </c>
      <c r="D285" s="32">
        <v>44110</v>
      </c>
      <c r="E285" s="148"/>
      <c r="F285" s="29" t="s">
        <v>23</v>
      </c>
      <c r="G285" s="33" t="s">
        <v>240</v>
      </c>
      <c r="H285" s="64">
        <v>168</v>
      </c>
      <c r="I285" s="64"/>
      <c r="J285" s="64">
        <f>+'INVENTARIO ENERO-MARZO 2021'!$H285-'INVENTARIO ENERO-MARZO 2021'!$I285</f>
        <v>168</v>
      </c>
      <c r="K285" s="64"/>
      <c r="L285" s="64"/>
      <c r="M285" s="64">
        <v>12</v>
      </c>
      <c r="N285" s="64"/>
      <c r="O285" s="64">
        <f>+Tabla1[[#This Row],[STOCK    FISICO ENERO 2021]]-Tabla1[[#This Row],[REQUISICIONES FEBRERO 2021]]</f>
        <v>156</v>
      </c>
      <c r="P285" s="64">
        <f>+Tabla1[[#This Row],[STOCK  FEBRERO 2021]]-Tabla1[[#This Row],[REQUISICIONES MARZO 2021]]+Tabla1[[#This Row],[ENTRADAS MARZO 2021]]</f>
        <v>156</v>
      </c>
      <c r="Q285" s="31" t="s">
        <v>210</v>
      </c>
      <c r="R285" s="35">
        <v>0</v>
      </c>
      <c r="S285" s="36">
        <f t="shared" si="11"/>
        <v>0</v>
      </c>
      <c r="T285" s="100">
        <f>Tabla1[[#This Row],[STOCK MARZO ]]*Tabla1[[#This Row],[COSTO UNITARIO SIN ITBIS]]</f>
        <v>0</v>
      </c>
    </row>
    <row r="286" spans="1:20" s="9" customFormat="1" x14ac:dyDescent="0.25">
      <c r="A286" s="96">
        <v>12</v>
      </c>
      <c r="B286" s="32">
        <v>43256</v>
      </c>
      <c r="C286" s="29" t="s">
        <v>11</v>
      </c>
      <c r="D286" s="32">
        <v>43256</v>
      </c>
      <c r="E286" s="148"/>
      <c r="F286" s="29" t="s">
        <v>23</v>
      </c>
      <c r="G286" s="33" t="s">
        <v>240</v>
      </c>
      <c r="H286" s="64">
        <v>96</v>
      </c>
      <c r="I286" s="64"/>
      <c r="J286" s="64">
        <f>+'INVENTARIO ENERO-MARZO 2021'!$H286-'INVENTARIO ENERO-MARZO 2021'!$I286</f>
        <v>96</v>
      </c>
      <c r="K286" s="64"/>
      <c r="L286" s="64"/>
      <c r="M286" s="64"/>
      <c r="N286" s="64"/>
      <c r="O286" s="64">
        <f>+Tabla1[[#This Row],[STOCK    FISICO ENERO 2021]]-Tabla1[[#This Row],[REQUISICIONES FEBRERO 2021]]</f>
        <v>96</v>
      </c>
      <c r="P286" s="64">
        <f>+Tabla1[[#This Row],[STOCK  FEBRERO 2021]]-Tabla1[[#This Row],[REQUISICIONES MARZO 2021]]+Tabla1[[#This Row],[ENTRADAS MARZO 2021]]</f>
        <v>96</v>
      </c>
      <c r="Q286" s="31" t="s">
        <v>210</v>
      </c>
      <c r="R286" s="35">
        <v>0</v>
      </c>
      <c r="S286" s="36">
        <f t="shared" si="11"/>
        <v>0</v>
      </c>
      <c r="T286" s="100">
        <f>Tabla1[[#This Row],[STOCK MARZO ]]*Tabla1[[#This Row],[COSTO UNITARIO SIN ITBIS]]</f>
        <v>0</v>
      </c>
    </row>
    <row r="287" spans="1:20" s="9" customFormat="1" x14ac:dyDescent="0.25">
      <c r="A287" s="96">
        <v>13</v>
      </c>
      <c r="B287" s="32">
        <v>43256</v>
      </c>
      <c r="C287" s="29" t="s">
        <v>11</v>
      </c>
      <c r="D287" s="32">
        <v>43256</v>
      </c>
      <c r="E287" s="148"/>
      <c r="F287" s="29" t="s">
        <v>23</v>
      </c>
      <c r="G287" s="33" t="s">
        <v>241</v>
      </c>
      <c r="H287" s="34">
        <v>74</v>
      </c>
      <c r="I287" s="34"/>
      <c r="J287" s="34">
        <f>+'INVENTARIO ENERO-MARZO 2021'!$H287-'INVENTARIO ENERO-MARZO 2021'!$I287</f>
        <v>74</v>
      </c>
      <c r="K287" s="34"/>
      <c r="L287" s="34"/>
      <c r="M287" s="34"/>
      <c r="N287" s="34">
        <v>12</v>
      </c>
      <c r="O287" s="34">
        <f>+Tabla1[[#This Row],[STOCK    FISICO ENERO 2021]]-Tabla1[[#This Row],[REQUISICIONES FEBRERO 2021]]</f>
        <v>74</v>
      </c>
      <c r="P287" s="34">
        <f>+Tabla1[[#This Row],[STOCK  FEBRERO 2021]]-Tabla1[[#This Row],[REQUISICIONES MARZO 2021]]+Tabla1[[#This Row],[ENTRADAS MARZO 2021]]</f>
        <v>62</v>
      </c>
      <c r="Q287" s="31" t="s">
        <v>230</v>
      </c>
      <c r="R287" s="35">
        <v>0</v>
      </c>
      <c r="S287" s="36">
        <f t="shared" si="11"/>
        <v>0</v>
      </c>
      <c r="T287" s="100">
        <f>Tabla1[[#This Row],[STOCK MARZO ]]*Tabla1[[#This Row],[COSTO UNITARIO SIN ITBIS]]</f>
        <v>0</v>
      </c>
    </row>
    <row r="288" spans="1:20" s="9" customFormat="1" x14ac:dyDescent="0.25">
      <c r="A288" s="96">
        <v>14</v>
      </c>
      <c r="B288" s="32">
        <v>44110</v>
      </c>
      <c r="C288" s="29" t="s">
        <v>11</v>
      </c>
      <c r="D288" s="32">
        <v>44110</v>
      </c>
      <c r="E288" s="148"/>
      <c r="F288" s="29" t="s">
        <v>23</v>
      </c>
      <c r="G288" s="33" t="s">
        <v>242</v>
      </c>
      <c r="H288" s="34">
        <v>56</v>
      </c>
      <c r="I288" s="34"/>
      <c r="J288" s="34">
        <f>+'INVENTARIO ENERO-MARZO 2021'!$H288-'INVENTARIO ENERO-MARZO 2021'!$I288</f>
        <v>56</v>
      </c>
      <c r="K288" s="34"/>
      <c r="L288" s="34"/>
      <c r="M288" s="34"/>
      <c r="N288" s="34">
        <v>12</v>
      </c>
      <c r="O288" s="34">
        <f>+Tabla1[[#This Row],[STOCK    FISICO ENERO 2021]]-Tabla1[[#This Row],[REQUISICIONES FEBRERO 2021]]</f>
        <v>56</v>
      </c>
      <c r="P288" s="34">
        <f>+Tabla1[[#This Row],[STOCK  FEBRERO 2021]]-Tabla1[[#This Row],[REQUISICIONES MARZO 2021]]+Tabla1[[#This Row],[ENTRADAS MARZO 2021]]</f>
        <v>44</v>
      </c>
      <c r="Q288" s="31" t="s">
        <v>230</v>
      </c>
      <c r="R288" s="35">
        <v>97.6</v>
      </c>
      <c r="S288" s="36">
        <v>114.99</v>
      </c>
      <c r="T288" s="100">
        <f>Tabla1[[#This Row],[STOCK MARZO ]]*Tabla1[[#This Row],[COSTO UNITARIO SIN ITBIS]]</f>
        <v>4294.3999999999996</v>
      </c>
    </row>
    <row r="289" spans="1:20" s="9" customFormat="1" x14ac:dyDescent="0.25">
      <c r="A289" s="96">
        <v>15</v>
      </c>
      <c r="B289" s="32">
        <v>44110</v>
      </c>
      <c r="C289" s="29" t="s">
        <v>11</v>
      </c>
      <c r="D289" s="32">
        <v>44110</v>
      </c>
      <c r="E289" s="148"/>
      <c r="F289" s="29" t="s">
        <v>23</v>
      </c>
      <c r="G289" s="33" t="s">
        <v>243</v>
      </c>
      <c r="H289" s="34">
        <v>120</v>
      </c>
      <c r="I289" s="34"/>
      <c r="J289" s="34">
        <f>+'INVENTARIO ENERO-MARZO 2021'!$H289-'INVENTARIO ENERO-MARZO 2021'!$I289</f>
        <v>120</v>
      </c>
      <c r="K289" s="34"/>
      <c r="L289" s="34"/>
      <c r="M289" s="34">
        <v>12</v>
      </c>
      <c r="N289" s="34"/>
      <c r="O289" s="34">
        <f>+Tabla1[[#This Row],[STOCK    FISICO ENERO 2021]]-Tabla1[[#This Row],[REQUISICIONES FEBRERO 2021]]</f>
        <v>108</v>
      </c>
      <c r="P289" s="34">
        <f>+Tabla1[[#This Row],[STOCK  FEBRERO 2021]]-Tabla1[[#This Row],[REQUISICIONES MARZO 2021]]+Tabla1[[#This Row],[ENTRADAS MARZO 2021]]</f>
        <v>108</v>
      </c>
      <c r="Q289" s="31" t="s">
        <v>230</v>
      </c>
      <c r="R289" s="35">
        <v>0</v>
      </c>
      <c r="S289" s="36">
        <f t="shared" ref="S289:S304" si="12">R289*0.18+R289</f>
        <v>0</v>
      </c>
      <c r="T289" s="100">
        <f>Tabla1[[#This Row],[STOCK MARZO ]]*Tabla1[[#This Row],[COSTO UNITARIO SIN ITBIS]]</f>
        <v>0</v>
      </c>
    </row>
    <row r="290" spans="1:20" s="9" customFormat="1" x14ac:dyDescent="0.25">
      <c r="A290" s="96">
        <v>16</v>
      </c>
      <c r="B290" s="32">
        <v>44110</v>
      </c>
      <c r="C290" s="29" t="s">
        <v>11</v>
      </c>
      <c r="D290" s="32">
        <v>44110</v>
      </c>
      <c r="E290" s="148"/>
      <c r="F290" s="29" t="s">
        <v>23</v>
      </c>
      <c r="G290" s="33" t="s">
        <v>244</v>
      </c>
      <c r="H290" s="34">
        <v>77</v>
      </c>
      <c r="I290" s="34"/>
      <c r="J290" s="34">
        <f>+'INVENTARIO ENERO-MARZO 2021'!$H290-'INVENTARIO ENERO-MARZO 2021'!$I290</f>
        <v>77</v>
      </c>
      <c r="K290" s="34"/>
      <c r="L290" s="34"/>
      <c r="M290" s="34"/>
      <c r="N290" s="34">
        <v>12</v>
      </c>
      <c r="O290" s="34">
        <f>+Tabla1[[#This Row],[STOCK    FISICO ENERO 2021]]-Tabla1[[#This Row],[REQUISICIONES FEBRERO 2021]]</f>
        <v>77</v>
      </c>
      <c r="P290" s="34">
        <f>+Tabla1[[#This Row],[STOCK  FEBRERO 2021]]-Tabla1[[#This Row],[REQUISICIONES MARZO 2021]]+Tabla1[[#This Row],[ENTRADAS MARZO 2021]]</f>
        <v>65</v>
      </c>
      <c r="Q290" s="31" t="s">
        <v>230</v>
      </c>
      <c r="R290" s="35">
        <v>0</v>
      </c>
      <c r="S290" s="36">
        <f t="shared" si="12"/>
        <v>0</v>
      </c>
      <c r="T290" s="100">
        <f>Tabla1[[#This Row],[STOCK MARZO ]]*Tabla1[[#This Row],[COSTO UNITARIO SIN ITBIS]]</f>
        <v>0</v>
      </c>
    </row>
    <row r="291" spans="1:20" s="9" customFormat="1" x14ac:dyDescent="0.25">
      <c r="A291" s="96">
        <v>17</v>
      </c>
      <c r="B291" s="32">
        <v>44110</v>
      </c>
      <c r="C291" s="29" t="s">
        <v>11</v>
      </c>
      <c r="D291" s="32">
        <v>44110</v>
      </c>
      <c r="E291" s="148"/>
      <c r="F291" s="29"/>
      <c r="G291" s="33" t="s">
        <v>245</v>
      </c>
      <c r="H291" s="64">
        <v>0</v>
      </c>
      <c r="I291" s="64"/>
      <c r="J291" s="64">
        <f>+'INVENTARIO ENERO-MARZO 2021'!$H291-'INVENTARIO ENERO-MARZO 2021'!$I291</f>
        <v>0</v>
      </c>
      <c r="K291" s="64"/>
      <c r="L291" s="64"/>
      <c r="M291" s="64"/>
      <c r="N291" s="64"/>
      <c r="O291" s="64">
        <f>+Tabla1[[#This Row],[STOCK    FISICO ENERO 2021]]-Tabla1[[#This Row],[REQUISICIONES FEBRERO 2021]]</f>
        <v>0</v>
      </c>
      <c r="P291" s="64">
        <f>+Tabla1[[#This Row],[STOCK  FEBRERO 2021]]-Tabla1[[#This Row],[REQUISICIONES MARZO 2021]]+Tabla1[[#This Row],[ENTRADAS MARZO 2021]]</f>
        <v>0</v>
      </c>
      <c r="Q291" s="31" t="s">
        <v>230</v>
      </c>
      <c r="R291" s="35">
        <v>5137.67</v>
      </c>
      <c r="S291" s="36">
        <f t="shared" si="12"/>
        <v>6062.4506000000001</v>
      </c>
      <c r="T291" s="100">
        <f>Tabla1[[#This Row],[STOCK MARZO ]]*Tabla1[[#This Row],[COSTO UNITARIO SIN ITBIS]]</f>
        <v>0</v>
      </c>
    </row>
    <row r="292" spans="1:20" s="9" customFormat="1" x14ac:dyDescent="0.25">
      <c r="A292" s="96">
        <v>18</v>
      </c>
      <c r="B292" s="32">
        <v>44110</v>
      </c>
      <c r="C292" s="29" t="s">
        <v>11</v>
      </c>
      <c r="D292" s="32">
        <v>44110</v>
      </c>
      <c r="E292" s="148"/>
      <c r="F292" s="29" t="s">
        <v>23</v>
      </c>
      <c r="G292" s="33" t="s">
        <v>246</v>
      </c>
      <c r="H292" s="34">
        <v>9</v>
      </c>
      <c r="I292" s="34"/>
      <c r="J292" s="34">
        <f>+'INVENTARIO ENERO-MARZO 2021'!$H292-'INVENTARIO ENERO-MARZO 2021'!$I292</f>
        <v>9</v>
      </c>
      <c r="K292" s="34"/>
      <c r="L292" s="34"/>
      <c r="M292" s="34"/>
      <c r="N292" s="34"/>
      <c r="O292" s="34">
        <f>+Tabla1[[#This Row],[STOCK    FISICO ENERO 2021]]-Tabla1[[#This Row],[REQUISICIONES FEBRERO 2021]]</f>
        <v>9</v>
      </c>
      <c r="P292" s="34">
        <f>+Tabla1[[#This Row],[STOCK  FEBRERO 2021]]-Tabla1[[#This Row],[REQUISICIONES MARZO 2021]]+Tabla1[[#This Row],[ENTRADAS MARZO 2021]]</f>
        <v>9</v>
      </c>
      <c r="Q292" s="31" t="s">
        <v>230</v>
      </c>
      <c r="R292" s="35">
        <v>615</v>
      </c>
      <c r="S292" s="36">
        <f t="shared" si="12"/>
        <v>725.7</v>
      </c>
      <c r="T292" s="100">
        <f>Tabla1[[#This Row],[STOCK MARZO ]]*Tabla1[[#This Row],[COSTO UNITARIO SIN ITBIS]]</f>
        <v>5535</v>
      </c>
    </row>
    <row r="293" spans="1:20" s="9" customFormat="1" x14ac:dyDescent="0.25">
      <c r="A293" s="96">
        <v>19</v>
      </c>
      <c r="B293" s="32">
        <v>44110</v>
      </c>
      <c r="C293" s="29" t="s">
        <v>11</v>
      </c>
      <c r="D293" s="32">
        <v>44110</v>
      </c>
      <c r="E293" s="148"/>
      <c r="F293" s="29" t="s">
        <v>23</v>
      </c>
      <c r="G293" s="33" t="s">
        <v>247</v>
      </c>
      <c r="H293" s="34">
        <v>7</v>
      </c>
      <c r="I293" s="34"/>
      <c r="J293" s="34">
        <f>+'INVENTARIO ENERO-MARZO 2021'!$H293-'INVENTARIO ENERO-MARZO 2021'!$I293</f>
        <v>7</v>
      </c>
      <c r="K293" s="34"/>
      <c r="L293" s="34"/>
      <c r="M293" s="34"/>
      <c r="N293" s="34"/>
      <c r="O293" s="34">
        <f>+Tabla1[[#This Row],[STOCK    FISICO ENERO 2021]]-Tabla1[[#This Row],[REQUISICIONES FEBRERO 2021]]</f>
        <v>7</v>
      </c>
      <c r="P293" s="34">
        <f>+Tabla1[[#This Row],[STOCK  FEBRERO 2021]]-Tabla1[[#This Row],[REQUISICIONES MARZO 2021]]+Tabla1[[#This Row],[ENTRADAS MARZO 2021]]</f>
        <v>7</v>
      </c>
      <c r="Q293" s="31" t="s">
        <v>230</v>
      </c>
      <c r="R293" s="35">
        <v>614.78</v>
      </c>
      <c r="S293" s="36">
        <f t="shared" si="12"/>
        <v>725.44039999999995</v>
      </c>
      <c r="T293" s="100">
        <f>Tabla1[[#This Row],[STOCK MARZO ]]*Tabla1[[#This Row],[COSTO UNITARIO SIN ITBIS]]</f>
        <v>4303.46</v>
      </c>
    </row>
    <row r="294" spans="1:20" s="9" customFormat="1" x14ac:dyDescent="0.25">
      <c r="A294" s="96">
        <v>20</v>
      </c>
      <c r="B294" s="32">
        <v>44110</v>
      </c>
      <c r="C294" s="29" t="s">
        <v>11</v>
      </c>
      <c r="D294" s="32">
        <v>44110</v>
      </c>
      <c r="E294" s="148"/>
      <c r="F294" s="29"/>
      <c r="G294" s="48" t="s">
        <v>248</v>
      </c>
      <c r="H294" s="64">
        <v>2</v>
      </c>
      <c r="I294" s="64"/>
      <c r="J294" s="64">
        <f>+'INVENTARIO ENERO-MARZO 2021'!$H294-'INVENTARIO ENERO-MARZO 2021'!$I294</f>
        <v>2</v>
      </c>
      <c r="K294" s="64"/>
      <c r="L294" s="64"/>
      <c r="M294" s="64"/>
      <c r="N294" s="64"/>
      <c r="O294" s="64">
        <f>+Tabla1[[#This Row],[STOCK    FISICO ENERO 2021]]-Tabla1[[#This Row],[REQUISICIONES FEBRERO 2021]]</f>
        <v>2</v>
      </c>
      <c r="P294" s="64">
        <f>+Tabla1[[#This Row],[STOCK  FEBRERO 2021]]-Tabla1[[#This Row],[REQUISICIONES MARZO 2021]]+Tabla1[[#This Row],[ENTRADAS MARZO 2021]]</f>
        <v>2</v>
      </c>
      <c r="Q294" s="31" t="s">
        <v>230</v>
      </c>
      <c r="R294" s="35"/>
      <c r="S294" s="36">
        <f t="shared" si="12"/>
        <v>0</v>
      </c>
      <c r="T294" s="100">
        <f>Tabla1[[#This Row],[STOCK MARZO ]]*Tabla1[[#This Row],[COSTO UNITARIO SIN ITBIS]]</f>
        <v>0</v>
      </c>
    </row>
    <row r="295" spans="1:20" s="9" customFormat="1" x14ac:dyDescent="0.25">
      <c r="A295" s="96">
        <v>21</v>
      </c>
      <c r="B295" s="32"/>
      <c r="C295" s="29" t="s">
        <v>11</v>
      </c>
      <c r="D295" s="32"/>
      <c r="E295" s="148"/>
      <c r="F295" s="29" t="s">
        <v>23</v>
      </c>
      <c r="G295" s="33" t="s">
        <v>249</v>
      </c>
      <c r="H295" s="34">
        <v>0</v>
      </c>
      <c r="I295" s="34"/>
      <c r="J295" s="34">
        <f>+'INVENTARIO ENERO-MARZO 2021'!$H295-'INVENTARIO ENERO-MARZO 2021'!$I295</f>
        <v>0</v>
      </c>
      <c r="K295" s="34"/>
      <c r="L295" s="34"/>
      <c r="M295" s="34"/>
      <c r="N295" s="34"/>
      <c r="O295" s="34">
        <f>+Tabla1[[#This Row],[STOCK    FISICO ENERO 2021]]-Tabla1[[#This Row],[REQUISICIONES FEBRERO 2021]]</f>
        <v>0</v>
      </c>
      <c r="P295" s="34">
        <f>+Tabla1[[#This Row],[STOCK  FEBRERO 2021]]-Tabla1[[#This Row],[REQUISICIONES MARZO 2021]]+Tabla1[[#This Row],[ENTRADAS MARZO 2021]]</f>
        <v>0</v>
      </c>
      <c r="Q295" s="31" t="s">
        <v>230</v>
      </c>
      <c r="R295" s="35">
        <v>0</v>
      </c>
      <c r="S295" s="36">
        <f t="shared" si="12"/>
        <v>0</v>
      </c>
      <c r="T295" s="100">
        <f>Tabla1[[#This Row],[STOCK MARZO ]]*Tabla1[[#This Row],[COSTO UNITARIO SIN ITBIS]]</f>
        <v>0</v>
      </c>
    </row>
    <row r="296" spans="1:20" s="9" customFormat="1" x14ac:dyDescent="0.25">
      <c r="A296" s="96">
        <v>22</v>
      </c>
      <c r="B296" s="32">
        <v>44110</v>
      </c>
      <c r="C296" s="29" t="s">
        <v>11</v>
      </c>
      <c r="D296" s="32">
        <v>44110</v>
      </c>
      <c r="E296" s="148"/>
      <c r="F296" s="29" t="s">
        <v>23</v>
      </c>
      <c r="G296" s="33" t="s">
        <v>250</v>
      </c>
      <c r="H296" s="34">
        <v>0</v>
      </c>
      <c r="I296" s="34"/>
      <c r="J296" s="34">
        <f>+'INVENTARIO ENERO-MARZO 2021'!$H296-'INVENTARIO ENERO-MARZO 2021'!$I296</f>
        <v>0</v>
      </c>
      <c r="K296" s="34"/>
      <c r="L296" s="34"/>
      <c r="M296" s="34"/>
      <c r="N296" s="34"/>
      <c r="O296" s="34">
        <f>+Tabla1[[#This Row],[STOCK    FISICO ENERO 2021]]-Tabla1[[#This Row],[REQUISICIONES FEBRERO 2021]]</f>
        <v>0</v>
      </c>
      <c r="P296" s="34">
        <f>+Tabla1[[#This Row],[STOCK  FEBRERO 2021]]-Tabla1[[#This Row],[REQUISICIONES MARZO 2021]]+Tabla1[[#This Row],[ENTRADAS MARZO 2021]]</f>
        <v>0</v>
      </c>
      <c r="Q296" s="31" t="s">
        <v>230</v>
      </c>
      <c r="R296" s="35">
        <v>0</v>
      </c>
      <c r="S296" s="36">
        <f t="shared" si="12"/>
        <v>0</v>
      </c>
      <c r="T296" s="100">
        <f>Tabla1[[#This Row],[STOCK MARZO ]]*Tabla1[[#This Row],[COSTO UNITARIO SIN ITBIS]]</f>
        <v>0</v>
      </c>
    </row>
    <row r="297" spans="1:20" s="9" customFormat="1" x14ac:dyDescent="0.25">
      <c r="A297" s="96">
        <v>23</v>
      </c>
      <c r="B297" s="32">
        <v>44110</v>
      </c>
      <c r="C297" s="29" t="s">
        <v>11</v>
      </c>
      <c r="D297" s="32">
        <v>44110</v>
      </c>
      <c r="E297" s="148"/>
      <c r="F297" s="44">
        <v>1149</v>
      </c>
      <c r="G297" s="41" t="s">
        <v>251</v>
      </c>
      <c r="H297" s="41">
        <v>16</v>
      </c>
      <c r="I297" s="41">
        <f>1+2+1</f>
        <v>4</v>
      </c>
      <c r="J297" s="41">
        <f>+'INVENTARIO ENERO-MARZO 2021'!$H297-'INVENTARIO ENERO-MARZO 2021'!$I297</f>
        <v>12</v>
      </c>
      <c r="K297" s="41"/>
      <c r="L297" s="41"/>
      <c r="M297" s="41">
        <f>1+1+1+1</f>
        <v>4</v>
      </c>
      <c r="N297" s="41">
        <f>1+2+2</f>
        <v>5</v>
      </c>
      <c r="O297" s="41">
        <f>+Tabla1[[#This Row],[STOCK    FISICO ENERO 2021]]-Tabla1[[#This Row],[REQUISICIONES FEBRERO 2021]]</f>
        <v>8</v>
      </c>
      <c r="P297" s="41">
        <f>+Tabla1[[#This Row],[STOCK  FEBRERO 2021]]-Tabla1[[#This Row],[REQUISICIONES MARZO 2021]]+Tabla1[[#This Row],[ENTRADAS MARZO 2021]]</f>
        <v>3</v>
      </c>
      <c r="Q297" s="41" t="s">
        <v>217</v>
      </c>
      <c r="R297" s="46">
        <v>672.6</v>
      </c>
      <c r="S297" s="36">
        <f t="shared" si="12"/>
        <v>793.66800000000001</v>
      </c>
      <c r="T297" s="100">
        <f>Tabla1[[#This Row],[STOCK MARZO ]]*Tabla1[[#This Row],[COSTO UNITARIO SIN ITBIS]]</f>
        <v>2017.8000000000002</v>
      </c>
    </row>
    <row r="298" spans="1:20" s="9" customFormat="1" x14ac:dyDescent="0.25">
      <c r="A298" s="96">
        <v>24</v>
      </c>
      <c r="B298" s="43">
        <v>43634</v>
      </c>
      <c r="C298" s="42" t="s">
        <v>11</v>
      </c>
      <c r="D298" s="43">
        <v>43634</v>
      </c>
      <c r="E298" s="150"/>
      <c r="F298" s="29" t="s">
        <v>23</v>
      </c>
      <c r="G298" s="33" t="s">
        <v>252</v>
      </c>
      <c r="H298" s="34">
        <v>54</v>
      </c>
      <c r="I298" s="34"/>
      <c r="J298" s="34">
        <f>+'INVENTARIO ENERO-MARZO 2021'!$H298-'INVENTARIO ENERO-MARZO 2021'!$I298</f>
        <v>54</v>
      </c>
      <c r="K298" s="34"/>
      <c r="L298" s="34"/>
      <c r="M298" s="34"/>
      <c r="N298" s="34">
        <v>10</v>
      </c>
      <c r="O298" s="34">
        <f>+Tabla1[[#This Row],[STOCK    FISICO ENERO 2021]]-Tabla1[[#This Row],[REQUISICIONES FEBRERO 2021]]</f>
        <v>54</v>
      </c>
      <c r="P298" s="34">
        <f>+Tabla1[[#This Row],[STOCK  FEBRERO 2021]]-Tabla1[[#This Row],[REQUISICIONES MARZO 2021]]+Tabla1[[#This Row],[ENTRADAS MARZO 2021]]</f>
        <v>44</v>
      </c>
      <c r="Q298" s="31" t="s">
        <v>230</v>
      </c>
      <c r="R298" s="35">
        <v>0</v>
      </c>
      <c r="S298" s="36">
        <f t="shared" si="12"/>
        <v>0</v>
      </c>
      <c r="T298" s="100">
        <f>Tabla1[[#This Row],[STOCK MARZO ]]*Tabla1[[#This Row],[COSTO UNITARIO SIN ITBIS]]</f>
        <v>0</v>
      </c>
    </row>
    <row r="299" spans="1:20" s="9" customFormat="1" x14ac:dyDescent="0.25">
      <c r="A299" s="96">
        <v>25</v>
      </c>
      <c r="B299" s="32">
        <v>44110</v>
      </c>
      <c r="C299" s="29" t="s">
        <v>11</v>
      </c>
      <c r="D299" s="32">
        <v>44110</v>
      </c>
      <c r="E299" s="148"/>
      <c r="F299" s="29" t="s">
        <v>23</v>
      </c>
      <c r="G299" s="33" t="s">
        <v>253</v>
      </c>
      <c r="H299" s="34">
        <v>88</v>
      </c>
      <c r="I299" s="34"/>
      <c r="J299" s="34">
        <f>+'INVENTARIO ENERO-MARZO 2021'!$H299-'INVENTARIO ENERO-MARZO 2021'!$I299</f>
        <v>88</v>
      </c>
      <c r="K299" s="34"/>
      <c r="L299" s="34"/>
      <c r="M299" s="34"/>
      <c r="N299" s="34"/>
      <c r="O299" s="34">
        <f>+Tabla1[[#This Row],[STOCK    FISICO ENERO 2021]]-Tabla1[[#This Row],[REQUISICIONES FEBRERO 2021]]</f>
        <v>88</v>
      </c>
      <c r="P299" s="34">
        <f>+Tabla1[[#This Row],[STOCK  FEBRERO 2021]]-Tabla1[[#This Row],[REQUISICIONES MARZO 2021]]+Tabla1[[#This Row],[ENTRADAS MARZO 2021]]</f>
        <v>88</v>
      </c>
      <c r="Q299" s="31" t="s">
        <v>230</v>
      </c>
      <c r="R299" s="35">
        <v>0</v>
      </c>
      <c r="S299" s="36">
        <f t="shared" si="12"/>
        <v>0</v>
      </c>
      <c r="T299" s="100">
        <f>Tabla1[[#This Row],[STOCK MARZO ]]*Tabla1[[#This Row],[COSTO UNITARIO SIN ITBIS]]</f>
        <v>0</v>
      </c>
    </row>
    <row r="300" spans="1:20" s="9" customFormat="1" x14ac:dyDescent="0.25">
      <c r="A300" s="96">
        <v>26</v>
      </c>
      <c r="B300" s="32">
        <v>44110</v>
      </c>
      <c r="C300" s="29" t="s">
        <v>11</v>
      </c>
      <c r="D300" s="32">
        <v>44110</v>
      </c>
      <c r="E300" s="148"/>
      <c r="F300" s="29"/>
      <c r="G300" s="33" t="s">
        <v>254</v>
      </c>
      <c r="H300" s="64">
        <v>0</v>
      </c>
      <c r="I300" s="64"/>
      <c r="J300" s="64">
        <f>+'INVENTARIO ENERO-MARZO 2021'!$H300-'INVENTARIO ENERO-MARZO 2021'!$I300</f>
        <v>0</v>
      </c>
      <c r="K300" s="64"/>
      <c r="L300" s="64"/>
      <c r="M300" s="64"/>
      <c r="N300" s="64"/>
      <c r="O300" s="64">
        <f>+Tabla1[[#This Row],[STOCK    FISICO ENERO 2021]]-Tabla1[[#This Row],[REQUISICIONES FEBRERO 2021]]</f>
        <v>0</v>
      </c>
      <c r="P300" s="64">
        <f>+Tabla1[[#This Row],[STOCK  FEBRERO 2021]]-Tabla1[[#This Row],[REQUISICIONES MARZO 2021]]+Tabla1[[#This Row],[ENTRADAS MARZO 2021]]</f>
        <v>0</v>
      </c>
      <c r="Q300" s="41" t="s">
        <v>217</v>
      </c>
      <c r="R300" s="35"/>
      <c r="S300" s="36">
        <f t="shared" si="12"/>
        <v>0</v>
      </c>
      <c r="T300" s="100">
        <f>Tabla1[[#This Row],[STOCK MARZO ]]*Tabla1[[#This Row],[COSTO UNITARIO SIN ITBIS]]</f>
        <v>0</v>
      </c>
    </row>
    <row r="301" spans="1:20" s="9" customFormat="1" x14ac:dyDescent="0.25">
      <c r="A301" s="96">
        <v>27</v>
      </c>
      <c r="B301" s="32">
        <v>44110</v>
      </c>
      <c r="C301" s="29" t="s">
        <v>11</v>
      </c>
      <c r="D301" s="32">
        <v>44110</v>
      </c>
      <c r="E301" s="148"/>
      <c r="F301" s="29" t="s">
        <v>23</v>
      </c>
      <c r="G301" s="33" t="s">
        <v>255</v>
      </c>
      <c r="H301" s="34">
        <v>78</v>
      </c>
      <c r="I301" s="34"/>
      <c r="J301" s="34">
        <f>+'INVENTARIO ENERO-MARZO 2021'!$H301-'INVENTARIO ENERO-MARZO 2021'!$I301</f>
        <v>78</v>
      </c>
      <c r="K301" s="34"/>
      <c r="L301" s="34"/>
      <c r="M301" s="34">
        <v>12</v>
      </c>
      <c r="N301" s="34"/>
      <c r="O301" s="34">
        <f>+Tabla1[[#This Row],[STOCK    FISICO ENERO 2021]]-Tabla1[[#This Row],[REQUISICIONES FEBRERO 2021]]</f>
        <v>66</v>
      </c>
      <c r="P301" s="34">
        <f>+Tabla1[[#This Row],[STOCK  FEBRERO 2021]]-Tabla1[[#This Row],[REQUISICIONES MARZO 2021]]+Tabla1[[#This Row],[ENTRADAS MARZO 2021]]</f>
        <v>66</v>
      </c>
      <c r="Q301" s="31" t="s">
        <v>210</v>
      </c>
      <c r="R301" s="35">
        <v>0</v>
      </c>
      <c r="S301" s="36">
        <f t="shared" si="12"/>
        <v>0</v>
      </c>
      <c r="T301" s="100">
        <f>Tabla1[[#This Row],[STOCK MARZO ]]*Tabla1[[#This Row],[COSTO UNITARIO SIN ITBIS]]</f>
        <v>0</v>
      </c>
    </row>
    <row r="302" spans="1:20" s="9" customFormat="1" x14ac:dyDescent="0.25">
      <c r="A302" s="96">
        <v>28</v>
      </c>
      <c r="B302" s="32">
        <v>44110</v>
      </c>
      <c r="C302" s="29" t="s">
        <v>11</v>
      </c>
      <c r="D302" s="32">
        <v>44110</v>
      </c>
      <c r="E302" s="148"/>
      <c r="F302" s="29" t="s">
        <v>23</v>
      </c>
      <c r="G302" s="33" t="s">
        <v>256</v>
      </c>
      <c r="H302" s="34">
        <v>30</v>
      </c>
      <c r="I302" s="34"/>
      <c r="J302" s="34">
        <f>+'INVENTARIO ENERO-MARZO 2021'!$H302-'INVENTARIO ENERO-MARZO 2021'!$I302</f>
        <v>30</v>
      </c>
      <c r="K302" s="34"/>
      <c r="L302" s="34"/>
      <c r="M302" s="34"/>
      <c r="N302" s="34"/>
      <c r="O302" s="34">
        <f>+Tabla1[[#This Row],[STOCK    FISICO ENERO 2021]]-Tabla1[[#This Row],[REQUISICIONES FEBRERO 2021]]</f>
        <v>30</v>
      </c>
      <c r="P302" s="34">
        <f>+Tabla1[[#This Row],[STOCK  FEBRERO 2021]]-Tabla1[[#This Row],[REQUISICIONES MARZO 2021]]+Tabla1[[#This Row],[ENTRADAS MARZO 2021]]</f>
        <v>30</v>
      </c>
      <c r="Q302" s="31" t="s">
        <v>210</v>
      </c>
      <c r="R302" s="35">
        <v>0</v>
      </c>
      <c r="S302" s="36">
        <f t="shared" si="12"/>
        <v>0</v>
      </c>
      <c r="T302" s="100">
        <f>Tabla1[[#This Row],[STOCK MARZO ]]*Tabla1[[#This Row],[COSTO UNITARIO SIN ITBIS]]</f>
        <v>0</v>
      </c>
    </row>
    <row r="303" spans="1:20" s="9" customFormat="1" x14ac:dyDescent="0.25">
      <c r="A303" s="96">
        <v>29</v>
      </c>
      <c r="B303" s="32">
        <v>44110</v>
      </c>
      <c r="C303" s="29" t="s">
        <v>11</v>
      </c>
      <c r="D303" s="32">
        <v>44110</v>
      </c>
      <c r="E303" s="148"/>
      <c r="F303" s="29" t="s">
        <v>23</v>
      </c>
      <c r="G303" s="33" t="s">
        <v>257</v>
      </c>
      <c r="H303" s="34">
        <v>4</v>
      </c>
      <c r="I303" s="34"/>
      <c r="J303" s="34">
        <f>+'INVENTARIO ENERO-MARZO 2021'!$H303-'INVENTARIO ENERO-MARZO 2021'!$I303</f>
        <v>4</v>
      </c>
      <c r="K303" s="34"/>
      <c r="L303" s="34"/>
      <c r="M303" s="34">
        <v>1</v>
      </c>
      <c r="N303" s="34"/>
      <c r="O303" s="34">
        <f>+Tabla1[[#This Row],[STOCK    FISICO ENERO 2021]]-Tabla1[[#This Row],[REQUISICIONES FEBRERO 2021]]</f>
        <v>3</v>
      </c>
      <c r="P303" s="34">
        <f>+Tabla1[[#This Row],[STOCK  FEBRERO 2021]]-Tabla1[[#This Row],[REQUISICIONES MARZO 2021]]+Tabla1[[#This Row],[ENTRADAS MARZO 2021]]</f>
        <v>3</v>
      </c>
      <c r="Q303" s="31" t="s">
        <v>230</v>
      </c>
      <c r="R303" s="35">
        <v>0</v>
      </c>
      <c r="S303" s="36">
        <f t="shared" si="12"/>
        <v>0</v>
      </c>
      <c r="T303" s="100">
        <f>Tabla1[[#This Row],[STOCK MARZO ]]*Tabla1[[#This Row],[COSTO UNITARIO SIN ITBIS]]</f>
        <v>0</v>
      </c>
    </row>
    <row r="304" spans="1:20" s="9" customFormat="1" x14ac:dyDescent="0.25">
      <c r="A304" s="96">
        <v>30</v>
      </c>
      <c r="B304" s="32">
        <v>44110</v>
      </c>
      <c r="C304" s="29" t="s">
        <v>11</v>
      </c>
      <c r="D304" s="32">
        <v>44110</v>
      </c>
      <c r="E304" s="148"/>
      <c r="F304" s="29" t="s">
        <v>23</v>
      </c>
      <c r="G304" s="33" t="s">
        <v>258</v>
      </c>
      <c r="H304" s="34">
        <v>108</v>
      </c>
      <c r="I304" s="34"/>
      <c r="J304" s="34">
        <f>+'INVENTARIO ENERO-MARZO 2021'!$H304-'INVENTARIO ENERO-MARZO 2021'!$I304</f>
        <v>108</v>
      </c>
      <c r="K304" s="34"/>
      <c r="L304" s="34"/>
      <c r="M304" s="34"/>
      <c r="N304" s="34"/>
      <c r="O304" s="34">
        <f>+Tabla1[[#This Row],[STOCK    FISICO ENERO 2021]]-Tabla1[[#This Row],[REQUISICIONES FEBRERO 2021]]</f>
        <v>108</v>
      </c>
      <c r="P304" s="34">
        <f>+Tabla1[[#This Row],[STOCK  FEBRERO 2021]]-Tabla1[[#This Row],[REQUISICIONES MARZO 2021]]+Tabla1[[#This Row],[ENTRADAS MARZO 2021]]</f>
        <v>108</v>
      </c>
      <c r="Q304" s="31" t="s">
        <v>210</v>
      </c>
      <c r="R304" s="35">
        <v>179</v>
      </c>
      <c r="S304" s="36">
        <f t="shared" si="12"/>
        <v>211.22</v>
      </c>
      <c r="T304" s="100">
        <f>Tabla1[[#This Row],[STOCK MARZO ]]*Tabla1[[#This Row],[COSTO UNITARIO SIN ITBIS]]</f>
        <v>19332</v>
      </c>
    </row>
    <row r="305" spans="1:20" s="9" customFormat="1" ht="15.75" thickBot="1" x14ac:dyDescent="0.3">
      <c r="A305" s="57"/>
      <c r="B305" s="57"/>
      <c r="C305" s="57"/>
      <c r="D305" s="57"/>
      <c r="E305" s="152"/>
      <c r="F305" s="57"/>
      <c r="G305" s="57"/>
      <c r="H305" s="58"/>
      <c r="I305" s="58"/>
      <c r="J305" s="58">
        <f>+'INVENTARIO ENERO-MARZO 2021'!$H305-'INVENTARIO ENERO-MARZO 2021'!$I305</f>
        <v>0</v>
      </c>
      <c r="K305" s="58"/>
      <c r="L305" s="58"/>
      <c r="M305" s="58"/>
      <c r="N305" s="58"/>
      <c r="O305" s="58"/>
      <c r="P305" s="58"/>
      <c r="Q305" s="57"/>
      <c r="R305" s="59"/>
      <c r="S305" s="59" t="s">
        <v>765</v>
      </c>
      <c r="T305" s="102">
        <f>SUM(T275:T304)</f>
        <v>87527.200000000012</v>
      </c>
    </row>
    <row r="306" spans="1:20" s="9" customFormat="1" ht="15.75" thickTop="1" x14ac:dyDescent="0.25">
      <c r="A306" s="62" t="s">
        <v>259</v>
      </c>
      <c r="B306" s="62"/>
      <c r="C306" s="62"/>
      <c r="D306" s="62"/>
      <c r="E306" s="103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103"/>
    </row>
    <row r="307" spans="1:20" s="9" customFormat="1" x14ac:dyDescent="0.25">
      <c r="A307" s="96">
        <v>1</v>
      </c>
      <c r="B307" s="32">
        <v>44168</v>
      </c>
      <c r="C307" s="29" t="s">
        <v>11</v>
      </c>
      <c r="D307" s="32">
        <v>44152</v>
      </c>
      <c r="E307" s="148"/>
      <c r="F307" s="29">
        <v>1288</v>
      </c>
      <c r="G307" s="33" t="s">
        <v>260</v>
      </c>
      <c r="H307" s="64">
        <v>0</v>
      </c>
      <c r="I307" s="64"/>
      <c r="J307" s="64">
        <f>+'INVENTARIO ENERO-MARZO 2021'!$H307-'INVENTARIO ENERO-MARZO 2021'!$I307</f>
        <v>0</v>
      </c>
      <c r="K307" s="64"/>
      <c r="L307" s="64"/>
      <c r="M307" s="64"/>
      <c r="N307" s="64"/>
      <c r="O307" s="64">
        <f>+Tabla1[[#This Row],[STOCK    FISICO ENERO 2021]]-Tabla1[[#This Row],[REQUISICIONES FEBRERO 2021]]</f>
        <v>0</v>
      </c>
      <c r="P307" s="64">
        <f>+Tabla1[[#This Row],[STOCK  FEBRERO 2021]]-Tabla1[[#This Row],[REQUISICIONES MARZO 2021]]+Tabla1[[#This Row],[ENTRADAS MARZO 2021]]</f>
        <v>0</v>
      </c>
      <c r="Q307" s="31" t="s">
        <v>12</v>
      </c>
      <c r="R307" s="35">
        <v>94</v>
      </c>
      <c r="S307" s="36">
        <f t="shared" ref="S307:S338" si="13">R307*0.18+R307</f>
        <v>110.92</v>
      </c>
      <c r="T307" s="100">
        <f>+Tabla1[[#This Row],[STOCK MARZO ]]*Tabla1[[#This Row],[COSTO UNITARIO SIN ITBIS]]</f>
        <v>0</v>
      </c>
    </row>
    <row r="308" spans="1:20" s="11" customFormat="1" x14ac:dyDescent="0.25">
      <c r="A308" s="96">
        <v>2</v>
      </c>
      <c r="B308" s="32">
        <v>44168</v>
      </c>
      <c r="C308" s="29" t="s">
        <v>11</v>
      </c>
      <c r="D308" s="32">
        <v>44153</v>
      </c>
      <c r="E308" s="148"/>
      <c r="F308" s="29">
        <v>1633</v>
      </c>
      <c r="G308" s="33" t="s">
        <v>261</v>
      </c>
      <c r="H308" s="64">
        <v>0</v>
      </c>
      <c r="I308" s="64"/>
      <c r="J308" s="64">
        <f>+'INVENTARIO ENERO-MARZO 2021'!$H308-'INVENTARIO ENERO-MARZO 2021'!$I308</f>
        <v>0</v>
      </c>
      <c r="K308" s="64"/>
      <c r="L308" s="64"/>
      <c r="M308" s="64"/>
      <c r="N308" s="64"/>
      <c r="O308" s="64">
        <f>+Tabla1[[#This Row],[STOCK    FISICO ENERO 2021]]-Tabla1[[#This Row],[REQUISICIONES FEBRERO 2021]]</f>
        <v>0</v>
      </c>
      <c r="P308" s="64">
        <f>+Tabla1[[#This Row],[STOCK  FEBRERO 2021]]-Tabla1[[#This Row],[REQUISICIONES MARZO 2021]]+Tabla1[[#This Row],[ENTRADAS MARZO 2021]]</f>
        <v>0</v>
      </c>
      <c r="Q308" s="31" t="s">
        <v>262</v>
      </c>
      <c r="R308" s="35">
        <v>2593.2199999999998</v>
      </c>
      <c r="S308" s="36">
        <f t="shared" si="13"/>
        <v>3059.9995999999996</v>
      </c>
      <c r="T308" s="100">
        <f>+Tabla1[[#This Row],[STOCK MARZO ]]*Tabla1[[#This Row],[COSTO UNITARIO SIN ITBIS]]</f>
        <v>0</v>
      </c>
    </row>
    <row r="309" spans="1:20" s="9" customFormat="1" x14ac:dyDescent="0.25">
      <c r="A309" s="96">
        <v>3</v>
      </c>
      <c r="B309" s="32">
        <v>44168</v>
      </c>
      <c r="C309" s="29" t="s">
        <v>11</v>
      </c>
      <c r="D309" s="32">
        <v>44153</v>
      </c>
      <c r="E309" s="148"/>
      <c r="F309" s="29">
        <v>1634</v>
      </c>
      <c r="G309" s="33" t="s">
        <v>263</v>
      </c>
      <c r="H309" s="64">
        <v>459</v>
      </c>
      <c r="I309" s="64"/>
      <c r="J309" s="64">
        <f>+'INVENTARIO ENERO-MARZO 2021'!$H309-'INVENTARIO ENERO-MARZO 2021'!$I309</f>
        <v>459</v>
      </c>
      <c r="K309" s="64"/>
      <c r="L309" s="64"/>
      <c r="M309" s="64">
        <f>100+30</f>
        <v>130</v>
      </c>
      <c r="N309" s="64"/>
      <c r="O309" s="64">
        <f>+Tabla1[[#This Row],[STOCK    FISICO ENERO 2021]]-Tabla1[[#This Row],[REQUISICIONES FEBRERO 2021]]</f>
        <v>329</v>
      </c>
      <c r="P309" s="64">
        <f>+Tabla1[[#This Row],[STOCK  FEBRERO 2021]]-Tabla1[[#This Row],[REQUISICIONES MARZO 2021]]+Tabla1[[#This Row],[ENTRADAS MARZO 2021]]</f>
        <v>329</v>
      </c>
      <c r="Q309" s="31" t="s">
        <v>682</v>
      </c>
      <c r="R309" s="35">
        <f>5593.22/500</f>
        <v>11.186440000000001</v>
      </c>
      <c r="S309" s="36">
        <f t="shared" si="13"/>
        <v>13.199999200000001</v>
      </c>
      <c r="T309" s="100">
        <f>+Tabla1[[#This Row],[STOCK MARZO ]]*Tabla1[[#This Row],[COSTO UNITARIO SIN ITBIS]]</f>
        <v>3680.3387600000005</v>
      </c>
    </row>
    <row r="310" spans="1:20" s="9" customFormat="1" ht="16.5" customHeight="1" x14ac:dyDescent="0.25">
      <c r="A310" s="96">
        <v>4</v>
      </c>
      <c r="B310" s="32">
        <v>44168</v>
      </c>
      <c r="C310" s="29" t="s">
        <v>11</v>
      </c>
      <c r="D310" s="32">
        <v>44154</v>
      </c>
      <c r="E310" s="148"/>
      <c r="F310" s="29">
        <v>1621</v>
      </c>
      <c r="G310" s="33" t="s">
        <v>264</v>
      </c>
      <c r="H310" s="64">
        <v>84</v>
      </c>
      <c r="I310" s="64"/>
      <c r="J310" s="64">
        <f>+'INVENTARIO ENERO-MARZO 2021'!$H310-'INVENTARIO ENERO-MARZO 2021'!$I310</f>
        <v>84</v>
      </c>
      <c r="K310" s="64"/>
      <c r="L310" s="64"/>
      <c r="M310" s="64"/>
      <c r="N310" s="64">
        <v>84</v>
      </c>
      <c r="O310" s="64">
        <f>+Tabla1[[#This Row],[STOCK    FISICO ENERO 2021]]-Tabla1[[#This Row],[REQUISICIONES FEBRERO 2021]]</f>
        <v>84</v>
      </c>
      <c r="P310" s="64">
        <f>+Tabla1[[#This Row],[STOCK  FEBRERO 2021]]-Tabla1[[#This Row],[REQUISICIONES MARZO 2021]]+Tabla1[[#This Row],[ENTRADAS MARZO 2021]]</f>
        <v>0</v>
      </c>
      <c r="Q310" s="31" t="s">
        <v>682</v>
      </c>
      <c r="R310" s="35">
        <v>52</v>
      </c>
      <c r="S310" s="36">
        <f t="shared" si="13"/>
        <v>61.36</v>
      </c>
      <c r="T310" s="100">
        <f>+Tabla1[[#This Row],[STOCK MARZO ]]*Tabla1[[#This Row],[COSTO UNITARIO SIN ITBIS]]</f>
        <v>0</v>
      </c>
    </row>
    <row r="311" spans="1:20" s="9" customFormat="1" ht="16.5" customHeight="1" x14ac:dyDescent="0.25">
      <c r="A311" s="96">
        <v>5</v>
      </c>
      <c r="B311" s="32">
        <v>44168</v>
      </c>
      <c r="C311" s="29" t="s">
        <v>11</v>
      </c>
      <c r="D311" s="32">
        <v>44154</v>
      </c>
      <c r="E311" s="148"/>
      <c r="F311" s="29">
        <v>1459</v>
      </c>
      <c r="G311" s="33" t="s">
        <v>265</v>
      </c>
      <c r="H311" s="64">
        <v>200</v>
      </c>
      <c r="I311" s="64"/>
      <c r="J311" s="64">
        <f>+'INVENTARIO ENERO-MARZO 2021'!$H311-'INVENTARIO ENERO-MARZO 2021'!$I311</f>
        <v>200</v>
      </c>
      <c r="K311" s="64"/>
      <c r="L311" s="64"/>
      <c r="M311" s="64"/>
      <c r="N311" s="64"/>
      <c r="O311" s="64">
        <f>+Tabla1[[#This Row],[STOCK    FISICO ENERO 2021]]-Tabla1[[#This Row],[REQUISICIONES FEBRERO 2021]]</f>
        <v>200</v>
      </c>
      <c r="P311" s="64">
        <f>+Tabla1[[#This Row],[STOCK  FEBRERO 2021]]-Tabla1[[#This Row],[REQUISICIONES MARZO 2021]]+Tabla1[[#This Row],[ENTRADAS MARZO 2021]]</f>
        <v>200</v>
      </c>
      <c r="Q311" s="31" t="s">
        <v>266</v>
      </c>
      <c r="R311" s="35">
        <v>12.36</v>
      </c>
      <c r="S311" s="36">
        <f t="shared" si="13"/>
        <v>14.5848</v>
      </c>
      <c r="T311" s="100">
        <f>+Tabla1[[#This Row],[STOCK MARZO ]]*Tabla1[[#This Row],[COSTO UNITARIO SIN ITBIS]]</f>
        <v>2472</v>
      </c>
    </row>
    <row r="312" spans="1:20" s="9" customFormat="1" ht="16.5" customHeight="1" x14ac:dyDescent="0.25">
      <c r="A312" s="96">
        <v>6</v>
      </c>
      <c r="B312" s="32">
        <v>44168</v>
      </c>
      <c r="C312" s="29" t="s">
        <v>11</v>
      </c>
      <c r="D312" s="32">
        <v>44155</v>
      </c>
      <c r="E312" s="148"/>
      <c r="F312" s="29"/>
      <c r="G312" s="33" t="s">
        <v>267</v>
      </c>
      <c r="H312" s="64">
        <v>200</v>
      </c>
      <c r="I312" s="64"/>
      <c r="J312" s="64">
        <f>+'INVENTARIO ENERO-MARZO 2021'!$H312-'INVENTARIO ENERO-MARZO 2021'!$I312</f>
        <v>200</v>
      </c>
      <c r="K312" s="64"/>
      <c r="L312" s="64"/>
      <c r="M312" s="64"/>
      <c r="N312" s="64"/>
      <c r="O312" s="64">
        <f>+Tabla1[[#This Row],[STOCK    FISICO ENERO 2021]]-Tabla1[[#This Row],[REQUISICIONES FEBRERO 2021]]</f>
        <v>200</v>
      </c>
      <c r="P312" s="64">
        <f>+Tabla1[[#This Row],[STOCK  FEBRERO 2021]]-Tabla1[[#This Row],[REQUISICIONES MARZO 2021]]+Tabla1[[#This Row],[ENTRADAS MARZO 2021]]</f>
        <v>200</v>
      </c>
      <c r="Q312" s="31" t="s">
        <v>266</v>
      </c>
      <c r="R312" s="35">
        <v>0</v>
      </c>
      <c r="S312" s="36">
        <f t="shared" si="13"/>
        <v>0</v>
      </c>
      <c r="T312" s="100">
        <f>+Tabla1[[#This Row],[STOCK MARZO ]]*Tabla1[[#This Row],[COSTO UNITARIO SIN ITBIS]]</f>
        <v>0</v>
      </c>
    </row>
    <row r="313" spans="1:20" s="9" customFormat="1" ht="16.5" customHeight="1" x14ac:dyDescent="0.25">
      <c r="A313" s="96">
        <v>7</v>
      </c>
      <c r="B313" s="32">
        <v>44168</v>
      </c>
      <c r="C313" s="29" t="s">
        <v>11</v>
      </c>
      <c r="D313" s="32">
        <v>44155</v>
      </c>
      <c r="E313" s="148"/>
      <c r="F313" s="29">
        <v>1460</v>
      </c>
      <c r="G313" s="33" t="s">
        <v>268</v>
      </c>
      <c r="H313" s="64">
        <v>0</v>
      </c>
      <c r="I313" s="64"/>
      <c r="J313" s="64">
        <f>+'INVENTARIO ENERO-MARZO 2021'!$H313-'INVENTARIO ENERO-MARZO 2021'!$I313</f>
        <v>0</v>
      </c>
      <c r="K313" s="64"/>
      <c r="L313" s="64"/>
      <c r="M313" s="64"/>
      <c r="N313" s="64"/>
      <c r="O313" s="64">
        <f>+Tabla1[[#This Row],[STOCK    FISICO ENERO 2021]]-Tabla1[[#This Row],[REQUISICIONES FEBRERO 2021]]</f>
        <v>0</v>
      </c>
      <c r="P313" s="64">
        <f>+Tabla1[[#This Row],[STOCK  FEBRERO 2021]]-Tabla1[[#This Row],[REQUISICIONES MARZO 2021]]+Tabla1[[#This Row],[ENTRADAS MARZO 2021]]</f>
        <v>0</v>
      </c>
      <c r="Q313" s="31" t="s">
        <v>266</v>
      </c>
      <c r="R313" s="35">
        <v>12.36</v>
      </c>
      <c r="S313" s="36">
        <f t="shared" si="13"/>
        <v>14.5848</v>
      </c>
      <c r="T313" s="100">
        <f>+Tabla1[[#This Row],[STOCK MARZO ]]*Tabla1[[#This Row],[COSTO UNITARIO SIN ITBIS]]</f>
        <v>0</v>
      </c>
    </row>
    <row r="314" spans="1:20" s="9" customFormat="1" ht="16.5" customHeight="1" x14ac:dyDescent="0.25">
      <c r="A314" s="96">
        <v>8</v>
      </c>
      <c r="B314" s="32">
        <v>44168</v>
      </c>
      <c r="C314" s="29" t="s">
        <v>11</v>
      </c>
      <c r="D314" s="32">
        <v>44155</v>
      </c>
      <c r="E314" s="148"/>
      <c r="F314" s="29"/>
      <c r="G314" s="33" t="s">
        <v>269</v>
      </c>
      <c r="H314" s="64">
        <v>0</v>
      </c>
      <c r="I314" s="64"/>
      <c r="J314" s="64">
        <f>+'INVENTARIO ENERO-MARZO 2021'!$H314-'INVENTARIO ENERO-MARZO 2021'!$I314</f>
        <v>0</v>
      </c>
      <c r="K314" s="64"/>
      <c r="L314" s="64"/>
      <c r="M314" s="64"/>
      <c r="N314" s="64"/>
      <c r="O314" s="64">
        <f>+Tabla1[[#This Row],[STOCK    FISICO ENERO 2021]]-Tabla1[[#This Row],[REQUISICIONES FEBRERO 2021]]</f>
        <v>0</v>
      </c>
      <c r="P314" s="64">
        <f>+Tabla1[[#This Row],[STOCK  FEBRERO 2021]]-Tabla1[[#This Row],[REQUISICIONES MARZO 2021]]+Tabla1[[#This Row],[ENTRADAS MARZO 2021]]</f>
        <v>0</v>
      </c>
      <c r="Q314" s="31" t="s">
        <v>266</v>
      </c>
      <c r="R314" s="35">
        <v>15.34</v>
      </c>
      <c r="S314" s="36">
        <f t="shared" si="13"/>
        <v>18.101199999999999</v>
      </c>
      <c r="T314" s="100">
        <f>+Tabla1[[#This Row],[STOCK MARZO ]]*Tabla1[[#This Row],[COSTO UNITARIO SIN ITBIS]]</f>
        <v>0</v>
      </c>
    </row>
    <row r="315" spans="1:20" s="9" customFormat="1" ht="16.5" customHeight="1" x14ac:dyDescent="0.25">
      <c r="A315" s="96">
        <v>9</v>
      </c>
      <c r="B315" s="32">
        <v>44137</v>
      </c>
      <c r="C315" s="29" t="s">
        <v>11</v>
      </c>
      <c r="D315" s="32">
        <v>44161</v>
      </c>
      <c r="E315" s="154"/>
      <c r="F315" s="71">
        <v>1624</v>
      </c>
      <c r="G315" s="33" t="s">
        <v>270</v>
      </c>
      <c r="H315" s="64">
        <v>0</v>
      </c>
      <c r="I315" s="64"/>
      <c r="J315" s="64">
        <f>+'INVENTARIO ENERO-MARZO 2021'!$H315-'INVENTARIO ENERO-MARZO 2021'!$I315</f>
        <v>0</v>
      </c>
      <c r="K315" s="64"/>
      <c r="L315" s="64"/>
      <c r="M315" s="64"/>
      <c r="N315" s="64"/>
      <c r="O315" s="64">
        <f>+Tabla1[[#This Row],[STOCK    FISICO ENERO 2021]]-Tabla1[[#This Row],[REQUISICIONES FEBRERO 2021]]</f>
        <v>0</v>
      </c>
      <c r="P315" s="64">
        <f>+Tabla1[[#This Row],[STOCK  FEBRERO 2021]]-Tabla1[[#This Row],[REQUISICIONES MARZO 2021]]+Tabla1[[#This Row],[ENTRADAS MARZO 2021]]</f>
        <v>0</v>
      </c>
      <c r="Q315" s="31" t="s">
        <v>266</v>
      </c>
      <c r="R315" s="35">
        <v>7.5</v>
      </c>
      <c r="S315" s="36">
        <f t="shared" si="13"/>
        <v>8.85</v>
      </c>
      <c r="T315" s="100">
        <f>+Tabla1[[#This Row],[STOCK MARZO ]]*Tabla1[[#This Row],[COSTO UNITARIO SIN ITBIS]]</f>
        <v>0</v>
      </c>
    </row>
    <row r="316" spans="1:20" s="9" customFormat="1" ht="16.5" customHeight="1" x14ac:dyDescent="0.25">
      <c r="A316" s="96">
        <v>10</v>
      </c>
      <c r="B316" s="32">
        <v>43223</v>
      </c>
      <c r="C316" s="29" t="s">
        <v>11</v>
      </c>
      <c r="D316" s="32">
        <v>43223</v>
      </c>
      <c r="E316" s="148"/>
      <c r="F316" s="29">
        <v>1623</v>
      </c>
      <c r="G316" s="33" t="s">
        <v>271</v>
      </c>
      <c r="H316" s="64">
        <v>122</v>
      </c>
      <c r="I316" s="64"/>
      <c r="J316" s="64">
        <f>+'INVENTARIO ENERO-MARZO 2021'!$H316-'INVENTARIO ENERO-MARZO 2021'!$I316</f>
        <v>122</v>
      </c>
      <c r="K316" s="64"/>
      <c r="L316" s="64"/>
      <c r="M316" s="64"/>
      <c r="N316" s="64"/>
      <c r="O316" s="64">
        <f>+Tabla1[[#This Row],[STOCK    FISICO ENERO 2021]]-Tabla1[[#This Row],[REQUISICIONES FEBRERO 2021]]</f>
        <v>122</v>
      </c>
      <c r="P316" s="64">
        <f>+Tabla1[[#This Row],[STOCK  FEBRERO 2021]]-Tabla1[[#This Row],[REQUISICIONES MARZO 2021]]+Tabla1[[#This Row],[ENTRADAS MARZO 2021]]</f>
        <v>122</v>
      </c>
      <c r="Q316" s="31" t="s">
        <v>266</v>
      </c>
      <c r="R316" s="35">
        <v>7.5</v>
      </c>
      <c r="S316" s="36">
        <f t="shared" si="13"/>
        <v>8.85</v>
      </c>
      <c r="T316" s="100">
        <f>+Tabla1[[#This Row],[STOCK MARZO ]]*Tabla1[[#This Row],[COSTO UNITARIO SIN ITBIS]]</f>
        <v>915</v>
      </c>
    </row>
    <row r="317" spans="1:20" s="9" customFormat="1" x14ac:dyDescent="0.25">
      <c r="A317" s="96">
        <v>11</v>
      </c>
      <c r="B317" s="32">
        <v>43223</v>
      </c>
      <c r="C317" s="29" t="s">
        <v>11</v>
      </c>
      <c r="D317" s="32">
        <v>43223</v>
      </c>
      <c r="E317" s="148"/>
      <c r="F317" s="29">
        <v>1625</v>
      </c>
      <c r="G317" s="33" t="s">
        <v>272</v>
      </c>
      <c r="H317" s="64">
        <v>200</v>
      </c>
      <c r="I317" s="64"/>
      <c r="J317" s="64">
        <f>+'INVENTARIO ENERO-MARZO 2021'!$H317-'INVENTARIO ENERO-MARZO 2021'!$I317</f>
        <v>200</v>
      </c>
      <c r="K317" s="64"/>
      <c r="L317" s="64"/>
      <c r="M317" s="64"/>
      <c r="N317" s="64">
        <f>25+60+40</f>
        <v>125</v>
      </c>
      <c r="O317" s="64">
        <f>+Tabla1[[#This Row],[STOCK    FISICO ENERO 2021]]-Tabla1[[#This Row],[REQUISICIONES FEBRERO 2021]]</f>
        <v>200</v>
      </c>
      <c r="P317" s="64">
        <f>+Tabla1[[#This Row],[STOCK  FEBRERO 2021]]-Tabla1[[#This Row],[REQUISICIONES MARZO 2021]]+Tabla1[[#This Row],[ENTRADAS MARZO 2021]]</f>
        <v>75</v>
      </c>
      <c r="Q317" s="31" t="s">
        <v>266</v>
      </c>
      <c r="R317" s="35">
        <v>5</v>
      </c>
      <c r="S317" s="36">
        <f t="shared" si="13"/>
        <v>5.9</v>
      </c>
      <c r="T317" s="100">
        <f>+Tabla1[[#This Row],[STOCK MARZO ]]*Tabla1[[#This Row],[COSTO UNITARIO SIN ITBIS]]</f>
        <v>375</v>
      </c>
    </row>
    <row r="318" spans="1:20" s="9" customFormat="1" ht="16.5" customHeight="1" x14ac:dyDescent="0.25">
      <c r="A318" s="96">
        <v>12</v>
      </c>
      <c r="B318" s="32">
        <v>44026</v>
      </c>
      <c r="C318" s="29" t="s">
        <v>11</v>
      </c>
      <c r="D318" s="32">
        <v>44026</v>
      </c>
      <c r="E318" s="148"/>
      <c r="F318" s="29"/>
      <c r="G318" s="33" t="s">
        <v>273</v>
      </c>
      <c r="H318" s="64">
        <v>200</v>
      </c>
      <c r="I318" s="64"/>
      <c r="J318" s="64">
        <f>+'INVENTARIO ENERO-MARZO 2021'!$H318-'INVENTARIO ENERO-MARZO 2021'!$I318</f>
        <v>200</v>
      </c>
      <c r="K318" s="64"/>
      <c r="L318" s="64"/>
      <c r="M318" s="64"/>
      <c r="N318" s="64"/>
      <c r="O318" s="64">
        <f>+Tabla1[[#This Row],[STOCK    FISICO ENERO 2021]]-Tabla1[[#This Row],[REQUISICIONES FEBRERO 2021]]</f>
        <v>200</v>
      </c>
      <c r="P318" s="64">
        <f>+Tabla1[[#This Row],[STOCK  FEBRERO 2021]]-Tabla1[[#This Row],[REQUISICIONES MARZO 2021]]+Tabla1[[#This Row],[ENTRADAS MARZO 2021]]</f>
        <v>200</v>
      </c>
      <c r="Q318" s="31" t="s">
        <v>112</v>
      </c>
      <c r="R318" s="35">
        <v>100.25</v>
      </c>
      <c r="S318" s="36">
        <f t="shared" si="13"/>
        <v>118.295</v>
      </c>
      <c r="T318" s="100">
        <f>+Tabla1[[#This Row],[STOCK MARZO ]]*Tabla1[[#This Row],[COSTO UNITARIO SIN ITBIS]]</f>
        <v>20050</v>
      </c>
    </row>
    <row r="319" spans="1:20" s="9" customFormat="1" x14ac:dyDescent="0.25">
      <c r="A319" s="96">
        <v>13</v>
      </c>
      <c r="B319" s="32">
        <v>44026</v>
      </c>
      <c r="C319" s="29" t="s">
        <v>11</v>
      </c>
      <c r="D319" s="32">
        <v>44026</v>
      </c>
      <c r="E319" s="148"/>
      <c r="F319" s="29">
        <v>1643</v>
      </c>
      <c r="G319" s="33" t="s">
        <v>274</v>
      </c>
      <c r="H319" s="64">
        <v>0</v>
      </c>
      <c r="I319" s="64"/>
      <c r="J319" s="64">
        <f>+'INVENTARIO ENERO-MARZO 2021'!$H319-'INVENTARIO ENERO-MARZO 2021'!$I319</f>
        <v>0</v>
      </c>
      <c r="K319" s="64"/>
      <c r="L319" s="64"/>
      <c r="M319" s="64"/>
      <c r="N319" s="64"/>
      <c r="O319" s="64">
        <f>+Tabla1[[#This Row],[STOCK    FISICO ENERO 2021]]-Tabla1[[#This Row],[REQUISICIONES FEBRERO 2021]]</f>
        <v>0</v>
      </c>
      <c r="P319" s="64">
        <f>+Tabla1[[#This Row],[STOCK  FEBRERO 2021]]-Tabla1[[#This Row],[REQUISICIONES MARZO 2021]]+Tabla1[[#This Row],[ENTRADAS MARZO 2021]]</f>
        <v>0</v>
      </c>
      <c r="Q319" s="31" t="s">
        <v>112</v>
      </c>
      <c r="R319" s="35">
        <v>4881.3599999999997</v>
      </c>
      <c r="S319" s="36">
        <f t="shared" si="13"/>
        <v>5760.0047999999997</v>
      </c>
      <c r="T319" s="100">
        <f>+Tabla1[[#This Row],[STOCK MARZO ]]*Tabla1[[#This Row],[COSTO UNITARIO SIN ITBIS]]</f>
        <v>0</v>
      </c>
    </row>
    <row r="320" spans="1:20" s="9" customFormat="1" x14ac:dyDescent="0.25">
      <c r="A320" s="96">
        <v>14</v>
      </c>
      <c r="B320" s="32">
        <v>44168</v>
      </c>
      <c r="C320" s="29" t="s">
        <v>11</v>
      </c>
      <c r="D320" s="32">
        <v>44155</v>
      </c>
      <c r="E320" s="148"/>
      <c r="F320" s="29">
        <v>1596</v>
      </c>
      <c r="G320" s="33" t="s">
        <v>275</v>
      </c>
      <c r="H320" s="64">
        <v>12</v>
      </c>
      <c r="I320" s="64"/>
      <c r="J320" s="64">
        <f>+'INVENTARIO ENERO-MARZO 2021'!$H320-'INVENTARIO ENERO-MARZO 2021'!$I320</f>
        <v>12</v>
      </c>
      <c r="K320" s="64"/>
      <c r="L320" s="64"/>
      <c r="M320" s="64"/>
      <c r="N320" s="64"/>
      <c r="O320" s="64">
        <f>+Tabla1[[#This Row],[STOCK    FISICO ENERO 2021]]-Tabla1[[#This Row],[REQUISICIONES FEBRERO 2021]]</f>
        <v>12</v>
      </c>
      <c r="P320" s="64">
        <f>+Tabla1[[#This Row],[STOCK  FEBRERO 2021]]-Tabla1[[#This Row],[REQUISICIONES MARZO 2021]]+Tabla1[[#This Row],[ENTRADAS MARZO 2021]]</f>
        <v>12</v>
      </c>
      <c r="Q320" s="31" t="s">
        <v>12</v>
      </c>
      <c r="R320" s="35">
        <v>113.04</v>
      </c>
      <c r="S320" s="36">
        <f t="shared" si="13"/>
        <v>133.38720000000001</v>
      </c>
      <c r="T320" s="100">
        <f>+Tabla1[[#This Row],[STOCK MARZO ]]*Tabla1[[#This Row],[COSTO UNITARIO SIN ITBIS]]</f>
        <v>1356.48</v>
      </c>
    </row>
    <row r="321" spans="1:20" s="9" customFormat="1" x14ac:dyDescent="0.25">
      <c r="A321" s="96">
        <v>15</v>
      </c>
      <c r="B321" s="32">
        <v>44168</v>
      </c>
      <c r="C321" s="29" t="s">
        <v>11</v>
      </c>
      <c r="D321" s="32">
        <v>44155</v>
      </c>
      <c r="E321" s="148"/>
      <c r="F321" s="29">
        <v>1480</v>
      </c>
      <c r="G321" s="33" t="s">
        <v>276</v>
      </c>
      <c r="H321" s="64">
        <v>1</v>
      </c>
      <c r="I321" s="64"/>
      <c r="J321" s="64">
        <f>+'INVENTARIO ENERO-MARZO 2021'!$H321-'INVENTARIO ENERO-MARZO 2021'!$I321</f>
        <v>1</v>
      </c>
      <c r="K321" s="64"/>
      <c r="L321" s="64"/>
      <c r="M321" s="64"/>
      <c r="N321" s="64"/>
      <c r="O321" s="64">
        <f>+Tabla1[[#This Row],[STOCK    FISICO ENERO 2021]]-Tabla1[[#This Row],[REQUISICIONES FEBRERO 2021]]</f>
        <v>1</v>
      </c>
      <c r="P321" s="64">
        <f>+Tabla1[[#This Row],[STOCK  FEBRERO 2021]]-Tabla1[[#This Row],[REQUISICIONES MARZO 2021]]+Tabla1[[#This Row],[ENTRADAS MARZO 2021]]</f>
        <v>1</v>
      </c>
      <c r="Q321" s="31" t="s">
        <v>12</v>
      </c>
      <c r="R321" s="35">
        <v>2950</v>
      </c>
      <c r="S321" s="36">
        <f t="shared" si="13"/>
        <v>3481</v>
      </c>
      <c r="T321" s="100">
        <f>+Tabla1[[#This Row],[STOCK MARZO ]]*Tabla1[[#This Row],[COSTO UNITARIO SIN ITBIS]]</f>
        <v>2950</v>
      </c>
    </row>
    <row r="322" spans="1:20" s="9" customFormat="1" x14ac:dyDescent="0.25">
      <c r="A322" s="96">
        <v>16</v>
      </c>
      <c r="B322" s="32">
        <v>44168</v>
      </c>
      <c r="C322" s="29" t="s">
        <v>11</v>
      </c>
      <c r="D322" s="32">
        <v>44155</v>
      </c>
      <c r="E322" s="148"/>
      <c r="F322" s="29">
        <v>1598</v>
      </c>
      <c r="G322" s="33" t="s">
        <v>277</v>
      </c>
      <c r="H322" s="64">
        <v>0</v>
      </c>
      <c r="I322" s="64"/>
      <c r="J322" s="64">
        <f>+'INVENTARIO ENERO-MARZO 2021'!$H322-'INVENTARIO ENERO-MARZO 2021'!$I322</f>
        <v>0</v>
      </c>
      <c r="K322" s="64"/>
      <c r="L322" s="64"/>
      <c r="M322" s="64"/>
      <c r="N322" s="64"/>
      <c r="O322" s="64">
        <f>+Tabla1[[#This Row],[STOCK    FISICO ENERO 2021]]-Tabla1[[#This Row],[REQUISICIONES FEBRERO 2021]]</f>
        <v>0</v>
      </c>
      <c r="P322" s="64">
        <f>+Tabla1[[#This Row],[STOCK  FEBRERO 2021]]-Tabla1[[#This Row],[REQUISICIONES MARZO 2021]]+Tabla1[[#This Row],[ENTRADAS MARZO 2021]]</f>
        <v>0</v>
      </c>
      <c r="Q322" s="31" t="s">
        <v>12</v>
      </c>
      <c r="R322" s="35">
        <v>153</v>
      </c>
      <c r="S322" s="36">
        <f t="shared" si="13"/>
        <v>180.54</v>
      </c>
      <c r="T322" s="100">
        <f>+Tabla1[[#This Row],[STOCK MARZO ]]*Tabla1[[#This Row],[COSTO UNITARIO SIN ITBIS]]</f>
        <v>0</v>
      </c>
    </row>
    <row r="323" spans="1:20" s="9" customFormat="1" x14ac:dyDescent="0.25">
      <c r="A323" s="96">
        <v>17</v>
      </c>
      <c r="B323" s="32">
        <v>44168</v>
      </c>
      <c r="C323" s="29" t="s">
        <v>11</v>
      </c>
      <c r="D323" s="32">
        <v>44155</v>
      </c>
      <c r="E323" s="148"/>
      <c r="F323" s="29">
        <v>1599</v>
      </c>
      <c r="G323" s="33" t="s">
        <v>278</v>
      </c>
      <c r="H323" s="64">
        <v>32</v>
      </c>
      <c r="I323" s="64"/>
      <c r="J323" s="64">
        <f>+'INVENTARIO ENERO-MARZO 2021'!$H323-'INVENTARIO ENERO-MARZO 2021'!$I323</f>
        <v>32</v>
      </c>
      <c r="K323" s="64"/>
      <c r="L323" s="64"/>
      <c r="M323" s="64"/>
      <c r="N323" s="64">
        <v>6</v>
      </c>
      <c r="O323" s="64">
        <f>+Tabla1[[#This Row],[STOCK    FISICO ENERO 2021]]-Tabla1[[#This Row],[REQUISICIONES FEBRERO 2021]]</f>
        <v>32</v>
      </c>
      <c r="P323" s="64">
        <f>+Tabla1[[#This Row],[STOCK  FEBRERO 2021]]-Tabla1[[#This Row],[REQUISICIONES MARZO 2021]]+Tabla1[[#This Row],[ENTRADAS MARZO 2021]]</f>
        <v>26</v>
      </c>
      <c r="Q323" s="31" t="s">
        <v>112</v>
      </c>
      <c r="R323" s="35">
        <v>54</v>
      </c>
      <c r="S323" s="36">
        <f t="shared" si="13"/>
        <v>63.72</v>
      </c>
      <c r="T323" s="100">
        <f>+Tabla1[[#This Row],[STOCK MARZO ]]*Tabla1[[#This Row],[COSTO UNITARIO SIN ITBIS]]</f>
        <v>1404</v>
      </c>
    </row>
    <row r="324" spans="1:20" s="9" customFormat="1" x14ac:dyDescent="0.25">
      <c r="A324" s="96">
        <v>18</v>
      </c>
      <c r="B324" s="32">
        <v>44168</v>
      </c>
      <c r="C324" s="29" t="s">
        <v>11</v>
      </c>
      <c r="D324" s="32">
        <v>44155</v>
      </c>
      <c r="E324" s="148"/>
      <c r="F324" s="29">
        <v>1600</v>
      </c>
      <c r="G324" s="33" t="s">
        <v>279</v>
      </c>
      <c r="H324" s="64">
        <v>102</v>
      </c>
      <c r="I324" s="64"/>
      <c r="J324" s="64">
        <f>+'INVENTARIO ENERO-MARZO 2021'!$H324-'INVENTARIO ENERO-MARZO 2021'!$I324</f>
        <v>102</v>
      </c>
      <c r="K324" s="64"/>
      <c r="L324" s="64"/>
      <c r="M324" s="64"/>
      <c r="N324" s="64"/>
      <c r="O324" s="64">
        <f>+Tabla1[[#This Row],[STOCK    FISICO ENERO 2021]]-Tabla1[[#This Row],[REQUISICIONES FEBRERO 2021]]</f>
        <v>102</v>
      </c>
      <c r="P324" s="64">
        <f>+Tabla1[[#This Row],[STOCK  FEBRERO 2021]]-Tabla1[[#This Row],[REQUISICIONES MARZO 2021]]+Tabla1[[#This Row],[ENTRADAS MARZO 2021]]</f>
        <v>102</v>
      </c>
      <c r="Q324" s="31" t="s">
        <v>112</v>
      </c>
      <c r="R324" s="35">
        <v>86.44</v>
      </c>
      <c r="S324" s="36">
        <f t="shared" si="13"/>
        <v>101.9992</v>
      </c>
      <c r="T324" s="100">
        <f>+Tabla1[[#This Row],[STOCK MARZO ]]*Tabla1[[#This Row],[COSTO UNITARIO SIN ITBIS]]</f>
        <v>8816.8799999999992</v>
      </c>
    </row>
    <row r="325" spans="1:20" s="9" customFormat="1" x14ac:dyDescent="0.25">
      <c r="A325" s="96">
        <v>19</v>
      </c>
      <c r="B325" s="32">
        <v>44168</v>
      </c>
      <c r="C325" s="29" t="s">
        <v>11</v>
      </c>
      <c r="D325" s="32">
        <v>44155</v>
      </c>
      <c r="E325" s="148"/>
      <c r="F325" s="29">
        <v>1333</v>
      </c>
      <c r="G325" s="33" t="s">
        <v>280</v>
      </c>
      <c r="H325" s="64">
        <v>13</v>
      </c>
      <c r="I325" s="64"/>
      <c r="J325" s="64">
        <f>+'INVENTARIO ENERO-MARZO 2021'!$H325-'INVENTARIO ENERO-MARZO 2021'!$I325</f>
        <v>13</v>
      </c>
      <c r="K325" s="64"/>
      <c r="L325" s="64"/>
      <c r="M325" s="64"/>
      <c r="N325" s="64"/>
      <c r="O325" s="64">
        <f>+Tabla1[[#This Row],[STOCK    FISICO ENERO 2021]]-Tabla1[[#This Row],[REQUISICIONES FEBRERO 2021]]</f>
        <v>13</v>
      </c>
      <c r="P325" s="64">
        <f>+Tabla1[[#This Row],[STOCK  FEBRERO 2021]]-Tabla1[[#This Row],[REQUISICIONES MARZO 2021]]+Tabla1[[#This Row],[ENTRADAS MARZO 2021]]</f>
        <v>13</v>
      </c>
      <c r="Q325" s="31" t="s">
        <v>12</v>
      </c>
      <c r="R325" s="35">
        <v>180</v>
      </c>
      <c r="S325" s="36">
        <f t="shared" si="13"/>
        <v>212.4</v>
      </c>
      <c r="T325" s="100">
        <f>+Tabla1[[#This Row],[STOCK MARZO ]]*Tabla1[[#This Row],[COSTO UNITARIO SIN ITBIS]]</f>
        <v>2340</v>
      </c>
    </row>
    <row r="326" spans="1:20" s="9" customFormat="1" x14ac:dyDescent="0.25">
      <c r="A326" s="96">
        <v>20</v>
      </c>
      <c r="B326" s="32">
        <v>44026</v>
      </c>
      <c r="C326" s="29" t="s">
        <v>11</v>
      </c>
      <c r="D326" s="32">
        <v>44026</v>
      </c>
      <c r="E326" s="148"/>
      <c r="F326" s="29">
        <v>1335</v>
      </c>
      <c r="G326" s="33" t="s">
        <v>281</v>
      </c>
      <c r="H326" s="64">
        <v>8</v>
      </c>
      <c r="I326" s="64"/>
      <c r="J326" s="64">
        <f>+'INVENTARIO ENERO-MARZO 2021'!$H326-'INVENTARIO ENERO-MARZO 2021'!$I326</f>
        <v>8</v>
      </c>
      <c r="K326" s="64"/>
      <c r="L326" s="64"/>
      <c r="M326" s="64"/>
      <c r="N326" s="64"/>
      <c r="O326" s="64">
        <f>+Tabla1[[#This Row],[STOCK    FISICO ENERO 2021]]-Tabla1[[#This Row],[REQUISICIONES FEBRERO 2021]]</f>
        <v>8</v>
      </c>
      <c r="P326" s="64">
        <f>+Tabla1[[#This Row],[STOCK  FEBRERO 2021]]-Tabla1[[#This Row],[REQUISICIONES MARZO 2021]]+Tabla1[[#This Row],[ENTRADAS MARZO 2021]]</f>
        <v>8</v>
      </c>
      <c r="Q326" s="31" t="s">
        <v>12</v>
      </c>
      <c r="R326" s="35">
        <v>180</v>
      </c>
      <c r="S326" s="36">
        <f t="shared" si="13"/>
        <v>212.4</v>
      </c>
      <c r="T326" s="100">
        <f>+Tabla1[[#This Row],[STOCK MARZO ]]*Tabla1[[#This Row],[COSTO UNITARIO SIN ITBIS]]</f>
        <v>1440</v>
      </c>
    </row>
    <row r="327" spans="1:20" s="9" customFormat="1" x14ac:dyDescent="0.25">
      <c r="A327" s="96">
        <v>21</v>
      </c>
      <c r="B327" s="32">
        <v>44026</v>
      </c>
      <c r="C327" s="29" t="s">
        <v>11</v>
      </c>
      <c r="D327" s="32">
        <v>44026</v>
      </c>
      <c r="E327" s="148"/>
      <c r="F327" s="29">
        <v>1028</v>
      </c>
      <c r="G327" s="33" t="s">
        <v>282</v>
      </c>
      <c r="H327" s="64">
        <v>13</v>
      </c>
      <c r="I327" s="64"/>
      <c r="J327" s="64">
        <f>+'INVENTARIO ENERO-MARZO 2021'!$H327-'INVENTARIO ENERO-MARZO 2021'!$I327</f>
        <v>13</v>
      </c>
      <c r="K327" s="64"/>
      <c r="L327" s="64"/>
      <c r="M327" s="64"/>
      <c r="N327" s="64">
        <v>2</v>
      </c>
      <c r="O327" s="64">
        <f>+Tabla1[[#This Row],[STOCK    FISICO ENERO 2021]]-Tabla1[[#This Row],[REQUISICIONES FEBRERO 2021]]</f>
        <v>13</v>
      </c>
      <c r="P327" s="64">
        <f>+Tabla1[[#This Row],[STOCK  FEBRERO 2021]]-Tabla1[[#This Row],[REQUISICIONES MARZO 2021]]+Tabla1[[#This Row],[ENTRADAS MARZO 2021]]</f>
        <v>11</v>
      </c>
      <c r="Q327" s="31" t="s">
        <v>12</v>
      </c>
      <c r="R327" s="35">
        <v>180</v>
      </c>
      <c r="S327" s="36">
        <f t="shared" si="13"/>
        <v>212.4</v>
      </c>
      <c r="T327" s="100">
        <f>+Tabla1[[#This Row],[STOCK MARZO ]]*Tabla1[[#This Row],[COSTO UNITARIO SIN ITBIS]]</f>
        <v>1980</v>
      </c>
    </row>
    <row r="328" spans="1:20" s="9" customFormat="1" x14ac:dyDescent="0.25">
      <c r="A328" s="96">
        <v>22</v>
      </c>
      <c r="B328" s="72">
        <v>43630</v>
      </c>
      <c r="C328" s="55" t="s">
        <v>11</v>
      </c>
      <c r="D328" s="72">
        <v>43630</v>
      </c>
      <c r="E328" s="155"/>
      <c r="F328" s="55">
        <v>1334</v>
      </c>
      <c r="G328" s="33" t="s">
        <v>283</v>
      </c>
      <c r="H328" s="70">
        <v>21</v>
      </c>
      <c r="I328" s="70"/>
      <c r="J328" s="70">
        <f>+'INVENTARIO ENERO-MARZO 2021'!$H328-'INVENTARIO ENERO-MARZO 2021'!$I328</f>
        <v>21</v>
      </c>
      <c r="K328" s="70"/>
      <c r="L328" s="70"/>
      <c r="M328" s="70"/>
      <c r="N328" s="70">
        <f>1+2</f>
        <v>3</v>
      </c>
      <c r="O328" s="70">
        <f>+Tabla1[[#This Row],[STOCK    FISICO ENERO 2021]]-Tabla1[[#This Row],[REQUISICIONES FEBRERO 2021]]</f>
        <v>21</v>
      </c>
      <c r="P328" s="70">
        <f>+Tabla1[[#This Row],[STOCK  FEBRERO 2021]]-Tabla1[[#This Row],[REQUISICIONES MARZO 2021]]+Tabla1[[#This Row],[ENTRADAS MARZO 2021]]</f>
        <v>18</v>
      </c>
      <c r="Q328" s="39" t="s">
        <v>12</v>
      </c>
      <c r="R328" s="42">
        <v>180</v>
      </c>
      <c r="S328" s="36">
        <f t="shared" si="13"/>
        <v>212.4</v>
      </c>
      <c r="T328" s="100">
        <f>+Tabla1[[#This Row],[STOCK MARZO ]]*Tabla1[[#This Row],[COSTO UNITARIO SIN ITBIS]]</f>
        <v>3240</v>
      </c>
    </row>
    <row r="329" spans="1:20" s="9" customFormat="1" x14ac:dyDescent="0.25">
      <c r="A329" s="96">
        <v>23</v>
      </c>
      <c r="B329" s="32">
        <v>44026</v>
      </c>
      <c r="C329" s="29" t="s">
        <v>11</v>
      </c>
      <c r="D329" s="32">
        <v>44026</v>
      </c>
      <c r="E329" s="148"/>
      <c r="F329" s="29">
        <v>1029</v>
      </c>
      <c r="G329" s="33" t="s">
        <v>284</v>
      </c>
      <c r="H329" s="64">
        <v>10</v>
      </c>
      <c r="I329" s="64"/>
      <c r="J329" s="64">
        <f>+'INVENTARIO ENERO-MARZO 2021'!$H329-'INVENTARIO ENERO-MARZO 2021'!$I329</f>
        <v>10</v>
      </c>
      <c r="K329" s="64"/>
      <c r="L329" s="64"/>
      <c r="M329" s="64"/>
      <c r="N329" s="64">
        <v>2</v>
      </c>
      <c r="O329" s="64">
        <f>+Tabla1[[#This Row],[STOCK    FISICO ENERO 2021]]-Tabla1[[#This Row],[REQUISICIONES FEBRERO 2021]]</f>
        <v>10</v>
      </c>
      <c r="P329" s="64">
        <f>+Tabla1[[#This Row],[STOCK  FEBRERO 2021]]-Tabla1[[#This Row],[REQUISICIONES MARZO 2021]]+Tabla1[[#This Row],[ENTRADAS MARZO 2021]]</f>
        <v>8</v>
      </c>
      <c r="Q329" s="31" t="s">
        <v>12</v>
      </c>
      <c r="R329" s="35">
        <v>180</v>
      </c>
      <c r="S329" s="36">
        <f t="shared" si="13"/>
        <v>212.4</v>
      </c>
      <c r="T329" s="100">
        <f>+Tabla1[[#This Row],[STOCK MARZO ]]*Tabla1[[#This Row],[COSTO UNITARIO SIN ITBIS]]</f>
        <v>1440</v>
      </c>
    </row>
    <row r="330" spans="1:20" s="9" customFormat="1" x14ac:dyDescent="0.25">
      <c r="A330" s="96">
        <v>24</v>
      </c>
      <c r="B330" s="32">
        <v>44026</v>
      </c>
      <c r="C330" s="29" t="s">
        <v>11</v>
      </c>
      <c r="D330" s="32">
        <v>44026</v>
      </c>
      <c r="E330" s="148"/>
      <c r="F330" s="29"/>
      <c r="G330" s="33" t="s">
        <v>285</v>
      </c>
      <c r="H330" s="64">
        <v>10</v>
      </c>
      <c r="I330" s="64"/>
      <c r="J330" s="64">
        <f>+'INVENTARIO ENERO-MARZO 2021'!$H330-'INVENTARIO ENERO-MARZO 2021'!$I330</f>
        <v>10</v>
      </c>
      <c r="K330" s="64"/>
      <c r="L330" s="64"/>
      <c r="M330" s="64"/>
      <c r="N330" s="64"/>
      <c r="O330" s="64">
        <f>+Tabla1[[#This Row],[STOCK    FISICO ENERO 2021]]-Tabla1[[#This Row],[REQUISICIONES FEBRERO 2021]]</f>
        <v>10</v>
      </c>
      <c r="P330" s="64">
        <f>+Tabla1[[#This Row],[STOCK  FEBRERO 2021]]-Tabla1[[#This Row],[REQUISICIONES MARZO 2021]]+Tabla1[[#This Row],[ENTRADAS MARZO 2021]]</f>
        <v>10</v>
      </c>
      <c r="Q330" s="31" t="s">
        <v>12</v>
      </c>
      <c r="R330" s="35">
        <v>725.7</v>
      </c>
      <c r="S330" s="36">
        <f t="shared" si="13"/>
        <v>856.32600000000002</v>
      </c>
      <c r="T330" s="100">
        <f>+Tabla1[[#This Row],[STOCK MARZO ]]*Tabla1[[#This Row],[COSTO UNITARIO SIN ITBIS]]</f>
        <v>7257</v>
      </c>
    </row>
    <row r="331" spans="1:20" s="10" customFormat="1" x14ac:dyDescent="0.25">
      <c r="A331" s="96">
        <v>25</v>
      </c>
      <c r="B331" s="32">
        <v>44026</v>
      </c>
      <c r="C331" s="29" t="s">
        <v>11</v>
      </c>
      <c r="D331" s="32">
        <v>44026</v>
      </c>
      <c r="E331" s="148"/>
      <c r="F331" s="29" t="s">
        <v>23</v>
      </c>
      <c r="G331" s="33" t="s">
        <v>286</v>
      </c>
      <c r="H331" s="64">
        <v>1</v>
      </c>
      <c r="I331" s="64"/>
      <c r="J331" s="64">
        <f>+'INVENTARIO ENERO-MARZO 2021'!$H331-'INVENTARIO ENERO-MARZO 2021'!$I331</f>
        <v>1</v>
      </c>
      <c r="K331" s="64"/>
      <c r="L331" s="64"/>
      <c r="M331" s="64"/>
      <c r="N331" s="64"/>
      <c r="O331" s="64">
        <f>+Tabla1[[#This Row],[STOCK    FISICO ENERO 2021]]-Tabla1[[#This Row],[REQUISICIONES FEBRERO 2021]]</f>
        <v>1</v>
      </c>
      <c r="P331" s="64">
        <f>+Tabla1[[#This Row],[STOCK  FEBRERO 2021]]-Tabla1[[#This Row],[REQUISICIONES MARZO 2021]]+Tabla1[[#This Row],[ENTRADAS MARZO 2021]]</f>
        <v>1</v>
      </c>
      <c r="Q331" s="31" t="s">
        <v>12</v>
      </c>
      <c r="R331" s="35">
        <v>0</v>
      </c>
      <c r="S331" s="36">
        <f t="shared" si="13"/>
        <v>0</v>
      </c>
      <c r="T331" s="100">
        <f>+Tabla1[[#This Row],[STOCK MARZO ]]*Tabla1[[#This Row],[COSTO UNITARIO SIN ITBIS]]</f>
        <v>0</v>
      </c>
    </row>
    <row r="332" spans="1:20" s="9" customFormat="1" x14ac:dyDescent="0.25">
      <c r="A332" s="96">
        <v>26</v>
      </c>
      <c r="B332" s="32">
        <v>43089</v>
      </c>
      <c r="C332" s="29" t="s">
        <v>11</v>
      </c>
      <c r="D332" s="32">
        <v>43089</v>
      </c>
      <c r="E332" s="148"/>
      <c r="F332" s="29">
        <v>1336</v>
      </c>
      <c r="G332" s="33" t="s">
        <v>287</v>
      </c>
      <c r="H332" s="64">
        <v>10</v>
      </c>
      <c r="I332" s="64"/>
      <c r="J332" s="64">
        <f>+'INVENTARIO ENERO-MARZO 2021'!$H332-'INVENTARIO ENERO-MARZO 2021'!$I332</f>
        <v>10</v>
      </c>
      <c r="K332" s="64"/>
      <c r="L332" s="64"/>
      <c r="M332" s="64"/>
      <c r="N332" s="64"/>
      <c r="O332" s="64">
        <f>+Tabla1[[#This Row],[STOCK    FISICO ENERO 2021]]-Tabla1[[#This Row],[REQUISICIONES FEBRERO 2021]]</f>
        <v>10</v>
      </c>
      <c r="P332" s="64">
        <f>+Tabla1[[#This Row],[STOCK  FEBRERO 2021]]-Tabla1[[#This Row],[REQUISICIONES MARZO 2021]]+Tabla1[[#This Row],[ENTRADAS MARZO 2021]]</f>
        <v>10</v>
      </c>
      <c r="Q332" s="31" t="s">
        <v>12</v>
      </c>
      <c r="R332" s="35">
        <v>180</v>
      </c>
      <c r="S332" s="36">
        <f t="shared" si="13"/>
        <v>212.4</v>
      </c>
      <c r="T332" s="100">
        <f>+Tabla1[[#This Row],[STOCK MARZO ]]*Tabla1[[#This Row],[COSTO UNITARIO SIN ITBIS]]</f>
        <v>1800</v>
      </c>
    </row>
    <row r="333" spans="1:20" s="9" customFormat="1" x14ac:dyDescent="0.25">
      <c r="A333" s="96">
        <v>27</v>
      </c>
      <c r="B333" s="32">
        <v>43089</v>
      </c>
      <c r="C333" s="29" t="s">
        <v>11</v>
      </c>
      <c r="D333" s="32">
        <v>43089</v>
      </c>
      <c r="E333" s="148"/>
      <c r="F333" s="29">
        <v>1037</v>
      </c>
      <c r="G333" s="33" t="s">
        <v>288</v>
      </c>
      <c r="H333" s="64">
        <v>30</v>
      </c>
      <c r="I333" s="64"/>
      <c r="J333" s="64">
        <f>+'INVENTARIO ENERO-MARZO 2021'!$H333-'INVENTARIO ENERO-MARZO 2021'!$I333</f>
        <v>30</v>
      </c>
      <c r="K333" s="64"/>
      <c r="L333" s="64"/>
      <c r="M333" s="64"/>
      <c r="N333" s="64"/>
      <c r="O333" s="64">
        <f>+Tabla1[[#This Row],[STOCK    FISICO ENERO 2021]]-Tabla1[[#This Row],[REQUISICIONES FEBRERO 2021]]</f>
        <v>30</v>
      </c>
      <c r="P333" s="64">
        <f>+Tabla1[[#This Row],[STOCK  FEBRERO 2021]]-Tabla1[[#This Row],[REQUISICIONES MARZO 2021]]+Tabla1[[#This Row],[ENTRADAS MARZO 2021]]</f>
        <v>30</v>
      </c>
      <c r="Q333" s="31" t="s">
        <v>12</v>
      </c>
      <c r="R333" s="35">
        <v>110</v>
      </c>
      <c r="S333" s="36">
        <f t="shared" si="13"/>
        <v>129.80000000000001</v>
      </c>
      <c r="T333" s="100">
        <f>+Tabla1[[#This Row],[STOCK MARZO ]]*Tabla1[[#This Row],[COSTO UNITARIO SIN ITBIS]]</f>
        <v>3300</v>
      </c>
    </row>
    <row r="334" spans="1:20" s="9" customFormat="1" x14ac:dyDescent="0.25">
      <c r="A334" s="96">
        <v>28</v>
      </c>
      <c r="B334" s="32">
        <v>44168</v>
      </c>
      <c r="C334" s="29" t="s">
        <v>11</v>
      </c>
      <c r="D334" s="32">
        <v>44154</v>
      </c>
      <c r="E334" s="148"/>
      <c r="F334" s="29">
        <v>1038</v>
      </c>
      <c r="G334" s="33" t="s">
        <v>289</v>
      </c>
      <c r="H334" s="64">
        <v>4</v>
      </c>
      <c r="I334" s="64"/>
      <c r="J334" s="64">
        <f>+'INVENTARIO ENERO-MARZO 2021'!$H334-'INVENTARIO ENERO-MARZO 2021'!$I334</f>
        <v>4</v>
      </c>
      <c r="K334" s="64"/>
      <c r="L334" s="64"/>
      <c r="M334" s="64"/>
      <c r="N334" s="64"/>
      <c r="O334" s="64">
        <f>+Tabla1[[#This Row],[STOCK    FISICO ENERO 2021]]-Tabla1[[#This Row],[REQUISICIONES FEBRERO 2021]]</f>
        <v>4</v>
      </c>
      <c r="P334" s="64">
        <f>+Tabla1[[#This Row],[STOCK  FEBRERO 2021]]-Tabla1[[#This Row],[REQUISICIONES MARZO 2021]]+Tabla1[[#This Row],[ENTRADAS MARZO 2021]]</f>
        <v>4</v>
      </c>
      <c r="Q334" s="31" t="s">
        <v>12</v>
      </c>
      <c r="R334" s="35">
        <v>60</v>
      </c>
      <c r="S334" s="36">
        <f t="shared" si="13"/>
        <v>70.8</v>
      </c>
      <c r="T334" s="100">
        <f>+Tabla1[[#This Row],[STOCK MARZO ]]*Tabla1[[#This Row],[COSTO UNITARIO SIN ITBIS]]</f>
        <v>240</v>
      </c>
    </row>
    <row r="335" spans="1:20" s="9" customFormat="1" x14ac:dyDescent="0.25">
      <c r="A335" s="96">
        <v>29</v>
      </c>
      <c r="B335" s="32">
        <v>44168</v>
      </c>
      <c r="C335" s="29" t="s">
        <v>11</v>
      </c>
      <c r="D335" s="32">
        <v>44152</v>
      </c>
      <c r="E335" s="148"/>
      <c r="F335" s="29">
        <v>1618</v>
      </c>
      <c r="G335" s="33" t="s">
        <v>290</v>
      </c>
      <c r="H335" s="64">
        <v>0</v>
      </c>
      <c r="I335" s="64"/>
      <c r="J335" s="64">
        <f>+'INVENTARIO ENERO-MARZO 2021'!$H335-'INVENTARIO ENERO-MARZO 2021'!$I335</f>
        <v>0</v>
      </c>
      <c r="K335" s="64"/>
      <c r="L335" s="64"/>
      <c r="M335" s="64"/>
      <c r="N335" s="64"/>
      <c r="O335" s="64">
        <f>+Tabla1[[#This Row],[STOCK    FISICO ENERO 2021]]-Tabla1[[#This Row],[REQUISICIONES FEBRERO 2021]]</f>
        <v>0</v>
      </c>
      <c r="P335" s="64">
        <f>+Tabla1[[#This Row],[STOCK  FEBRERO 2021]]-Tabla1[[#This Row],[REQUISICIONES MARZO 2021]]+Tabla1[[#This Row],[ENTRADAS MARZO 2021]]</f>
        <v>0</v>
      </c>
      <c r="Q335" s="31" t="s">
        <v>112</v>
      </c>
      <c r="R335" s="35">
        <v>24.41</v>
      </c>
      <c r="S335" s="36">
        <f t="shared" si="13"/>
        <v>28.803799999999999</v>
      </c>
      <c r="T335" s="100">
        <f>+Tabla1[[#This Row],[STOCK MARZO ]]*Tabla1[[#This Row],[COSTO UNITARIO SIN ITBIS]]</f>
        <v>0</v>
      </c>
    </row>
    <row r="336" spans="1:20" s="9" customFormat="1" x14ac:dyDescent="0.25">
      <c r="A336" s="96">
        <v>30</v>
      </c>
      <c r="B336" s="32">
        <v>44168</v>
      </c>
      <c r="C336" s="29" t="s">
        <v>11</v>
      </c>
      <c r="D336" s="32">
        <v>44152</v>
      </c>
      <c r="E336" s="148"/>
      <c r="F336" s="29">
        <v>1609</v>
      </c>
      <c r="G336" s="33" t="s">
        <v>291</v>
      </c>
      <c r="H336" s="64">
        <v>3</v>
      </c>
      <c r="I336" s="64"/>
      <c r="J336" s="64">
        <f>+'INVENTARIO ENERO-MARZO 2021'!$H336-'INVENTARIO ENERO-MARZO 2021'!$I336</f>
        <v>3</v>
      </c>
      <c r="K336" s="64"/>
      <c r="L336" s="64"/>
      <c r="M336" s="64"/>
      <c r="N336" s="64"/>
      <c r="O336" s="64">
        <f>+Tabla1[[#This Row],[STOCK    FISICO ENERO 2021]]-Tabla1[[#This Row],[REQUISICIONES FEBRERO 2021]]</f>
        <v>3</v>
      </c>
      <c r="P336" s="64">
        <f>+Tabla1[[#This Row],[STOCK  FEBRERO 2021]]-Tabla1[[#This Row],[REQUISICIONES MARZO 2021]]+Tabla1[[#This Row],[ENTRADAS MARZO 2021]]</f>
        <v>3</v>
      </c>
      <c r="Q336" s="31" t="s">
        <v>112</v>
      </c>
      <c r="R336" s="35">
        <v>2308.4699999999998</v>
      </c>
      <c r="S336" s="36">
        <f t="shared" si="13"/>
        <v>2723.9946</v>
      </c>
      <c r="T336" s="100">
        <f>+Tabla1[[#This Row],[STOCK MARZO ]]*Tabla1[[#This Row],[COSTO UNITARIO SIN ITBIS]]</f>
        <v>6925.41</v>
      </c>
    </row>
    <row r="337" spans="1:20" s="9" customFormat="1" x14ac:dyDescent="0.25">
      <c r="A337" s="96">
        <v>31</v>
      </c>
      <c r="B337" s="32">
        <v>44167</v>
      </c>
      <c r="C337" s="29" t="s">
        <v>11</v>
      </c>
      <c r="D337" s="32">
        <v>44161</v>
      </c>
      <c r="E337" s="148"/>
      <c r="F337" s="29">
        <v>1608</v>
      </c>
      <c r="G337" s="33" t="s">
        <v>292</v>
      </c>
      <c r="H337" s="64">
        <v>5</v>
      </c>
      <c r="I337" s="64"/>
      <c r="J337" s="64">
        <f>+'INVENTARIO ENERO-MARZO 2021'!$H337-'INVENTARIO ENERO-MARZO 2021'!$I337</f>
        <v>5</v>
      </c>
      <c r="K337" s="64"/>
      <c r="L337" s="64"/>
      <c r="M337" s="64"/>
      <c r="N337" s="64"/>
      <c r="O337" s="64">
        <f>+Tabla1[[#This Row],[STOCK    FISICO ENERO 2021]]-Tabla1[[#This Row],[REQUISICIONES FEBRERO 2021]]</f>
        <v>5</v>
      </c>
      <c r="P337" s="64">
        <f>+Tabla1[[#This Row],[STOCK  FEBRERO 2021]]-Tabla1[[#This Row],[REQUISICIONES MARZO 2021]]+Tabla1[[#This Row],[ENTRADAS MARZO 2021]]</f>
        <v>5</v>
      </c>
      <c r="Q337" s="31" t="s">
        <v>112</v>
      </c>
      <c r="R337" s="35">
        <v>111.86</v>
      </c>
      <c r="S337" s="36">
        <f t="shared" si="13"/>
        <v>131.9948</v>
      </c>
      <c r="T337" s="100">
        <f>+Tabla1[[#This Row],[STOCK MARZO ]]*Tabla1[[#This Row],[COSTO UNITARIO SIN ITBIS]]</f>
        <v>559.29999999999995</v>
      </c>
    </row>
    <row r="338" spans="1:20" s="9" customFormat="1" x14ac:dyDescent="0.25">
      <c r="A338" s="96">
        <v>32</v>
      </c>
      <c r="B338" s="32">
        <v>44110</v>
      </c>
      <c r="C338" s="29" t="s">
        <v>11</v>
      </c>
      <c r="D338" s="32">
        <v>44110</v>
      </c>
      <c r="E338" s="148"/>
      <c r="F338" s="29">
        <v>1607</v>
      </c>
      <c r="G338" s="33" t="s">
        <v>293</v>
      </c>
      <c r="H338" s="64">
        <v>2</v>
      </c>
      <c r="I338" s="64"/>
      <c r="J338" s="64">
        <f>+'INVENTARIO ENERO-MARZO 2021'!$H338-'INVENTARIO ENERO-MARZO 2021'!$I338</f>
        <v>2</v>
      </c>
      <c r="K338" s="64"/>
      <c r="L338" s="64"/>
      <c r="M338" s="64"/>
      <c r="N338" s="64"/>
      <c r="O338" s="64">
        <f>+Tabla1[[#This Row],[STOCK    FISICO ENERO 2021]]-Tabla1[[#This Row],[REQUISICIONES FEBRERO 2021]]</f>
        <v>2</v>
      </c>
      <c r="P338" s="64">
        <f>+Tabla1[[#This Row],[STOCK  FEBRERO 2021]]-Tabla1[[#This Row],[REQUISICIONES MARZO 2021]]+Tabla1[[#This Row],[ENTRADAS MARZO 2021]]</f>
        <v>2</v>
      </c>
      <c r="Q338" s="31" t="s">
        <v>112</v>
      </c>
      <c r="R338" s="35">
        <v>450</v>
      </c>
      <c r="S338" s="36">
        <f t="shared" si="13"/>
        <v>531</v>
      </c>
      <c r="T338" s="100">
        <f>+Tabla1[[#This Row],[STOCK MARZO ]]*Tabla1[[#This Row],[COSTO UNITARIO SIN ITBIS]]</f>
        <v>900</v>
      </c>
    </row>
    <row r="339" spans="1:20" s="9" customFormat="1" x14ac:dyDescent="0.25">
      <c r="A339" s="96">
        <v>33</v>
      </c>
      <c r="B339" s="32">
        <v>44168</v>
      </c>
      <c r="C339" s="29" t="s">
        <v>11</v>
      </c>
      <c r="D339" s="32">
        <v>44152</v>
      </c>
      <c r="E339" s="148"/>
      <c r="F339" s="29">
        <v>1725</v>
      </c>
      <c r="G339" s="33" t="s">
        <v>294</v>
      </c>
      <c r="H339" s="64">
        <v>4</v>
      </c>
      <c r="I339" s="64"/>
      <c r="J339" s="64">
        <f>+'INVENTARIO ENERO-MARZO 2021'!$H339-'INVENTARIO ENERO-MARZO 2021'!$I339</f>
        <v>4</v>
      </c>
      <c r="K339" s="64"/>
      <c r="L339" s="64"/>
      <c r="M339" s="64"/>
      <c r="N339" s="64"/>
      <c r="O339" s="64">
        <f>+Tabla1[[#This Row],[STOCK    FISICO ENERO 2021]]-Tabla1[[#This Row],[REQUISICIONES FEBRERO 2021]]</f>
        <v>4</v>
      </c>
      <c r="P339" s="64">
        <f>+Tabla1[[#This Row],[STOCK  FEBRERO 2021]]-Tabla1[[#This Row],[REQUISICIONES MARZO 2021]]+Tabla1[[#This Row],[ENTRADAS MARZO 2021]]</f>
        <v>4</v>
      </c>
      <c r="Q339" s="31" t="s">
        <v>12</v>
      </c>
      <c r="R339" s="35">
        <v>966.12</v>
      </c>
      <c r="S339" s="36">
        <f t="shared" ref="S339:S370" si="14">R339*0.18+R339</f>
        <v>1140.0216</v>
      </c>
      <c r="T339" s="100">
        <f>+Tabla1[[#This Row],[STOCK MARZO ]]*Tabla1[[#This Row],[COSTO UNITARIO SIN ITBIS]]</f>
        <v>3864.48</v>
      </c>
    </row>
    <row r="340" spans="1:20" s="9" customFormat="1" x14ac:dyDescent="0.25">
      <c r="A340" s="96">
        <v>34</v>
      </c>
      <c r="B340" s="32">
        <v>43325</v>
      </c>
      <c r="C340" s="29" t="s">
        <v>11</v>
      </c>
      <c r="D340" s="32">
        <v>43325</v>
      </c>
      <c r="E340" s="148"/>
      <c r="F340" s="29">
        <v>1617</v>
      </c>
      <c r="G340" s="33" t="s">
        <v>295</v>
      </c>
      <c r="H340" s="64">
        <v>113</v>
      </c>
      <c r="I340" s="64"/>
      <c r="J340" s="64">
        <f>+'INVENTARIO ENERO-MARZO 2021'!$H340-'INVENTARIO ENERO-MARZO 2021'!$I340</f>
        <v>113</v>
      </c>
      <c r="K340" s="64"/>
      <c r="L340" s="64"/>
      <c r="M340" s="64"/>
      <c r="N340" s="64"/>
      <c r="O340" s="64">
        <f>+Tabla1[[#This Row],[STOCK    FISICO ENERO 2021]]-Tabla1[[#This Row],[REQUISICIONES FEBRERO 2021]]</f>
        <v>113</v>
      </c>
      <c r="P340" s="64">
        <f>+Tabla1[[#This Row],[STOCK  FEBRERO 2021]]-Tabla1[[#This Row],[REQUISICIONES MARZO 2021]]+Tabla1[[#This Row],[ENTRADAS MARZO 2021]]</f>
        <v>113</v>
      </c>
      <c r="Q340" s="31" t="s">
        <v>12</v>
      </c>
      <c r="R340" s="35">
        <v>14.24</v>
      </c>
      <c r="S340" s="36">
        <f t="shared" si="14"/>
        <v>16.8032</v>
      </c>
      <c r="T340" s="100">
        <f>+Tabla1[[#This Row],[STOCK MARZO ]]*Tabla1[[#This Row],[COSTO UNITARIO SIN ITBIS]]</f>
        <v>1609.1200000000001</v>
      </c>
    </row>
    <row r="341" spans="1:20" s="9" customFormat="1" x14ac:dyDescent="0.25">
      <c r="A341" s="96">
        <v>35</v>
      </c>
      <c r="B341" s="32">
        <v>43165</v>
      </c>
      <c r="C341" s="29" t="s">
        <v>11</v>
      </c>
      <c r="D341" s="32">
        <v>43165</v>
      </c>
      <c r="E341" s="148"/>
      <c r="F341" s="29">
        <v>1042</v>
      </c>
      <c r="G341" s="33" t="s">
        <v>296</v>
      </c>
      <c r="H341" s="64">
        <v>15</v>
      </c>
      <c r="I341" s="64"/>
      <c r="J341" s="64">
        <f>+'INVENTARIO ENERO-MARZO 2021'!$H341-'INVENTARIO ENERO-MARZO 2021'!$I341</f>
        <v>15</v>
      </c>
      <c r="K341" s="64"/>
      <c r="L341" s="64"/>
      <c r="M341" s="64"/>
      <c r="N341" s="64"/>
      <c r="O341" s="64">
        <f>+Tabla1[[#This Row],[STOCK    FISICO ENERO 2021]]-Tabla1[[#This Row],[REQUISICIONES FEBRERO 2021]]</f>
        <v>15</v>
      </c>
      <c r="P341" s="64">
        <f>+Tabla1[[#This Row],[STOCK  FEBRERO 2021]]-Tabla1[[#This Row],[REQUISICIONES MARZO 2021]]+Tabla1[[#This Row],[ENTRADAS MARZO 2021]]</f>
        <v>15</v>
      </c>
      <c r="Q341" s="31" t="s">
        <v>12</v>
      </c>
      <c r="R341" s="35">
        <v>37.76</v>
      </c>
      <c r="S341" s="36">
        <f t="shared" si="14"/>
        <v>44.556799999999996</v>
      </c>
      <c r="T341" s="100">
        <f>+Tabla1[[#This Row],[STOCK MARZO ]]*Tabla1[[#This Row],[COSTO UNITARIO SIN ITBIS]]</f>
        <v>566.4</v>
      </c>
    </row>
    <row r="342" spans="1:20" s="9" customFormat="1" x14ac:dyDescent="0.25">
      <c r="A342" s="96">
        <v>36</v>
      </c>
      <c r="B342" s="32">
        <v>44026</v>
      </c>
      <c r="C342" s="29" t="s">
        <v>11</v>
      </c>
      <c r="D342" s="32">
        <v>44026</v>
      </c>
      <c r="E342" s="148"/>
      <c r="F342" s="29">
        <v>1041</v>
      </c>
      <c r="G342" s="33" t="s">
        <v>785</v>
      </c>
      <c r="H342" s="64">
        <v>4</v>
      </c>
      <c r="I342" s="64">
        <v>2</v>
      </c>
      <c r="J342" s="64">
        <f>+'INVENTARIO ENERO-MARZO 2021'!$H342-'INVENTARIO ENERO-MARZO 2021'!$I342+2+1</f>
        <v>5</v>
      </c>
      <c r="K342" s="64"/>
      <c r="L342" s="64"/>
      <c r="M342" s="64">
        <f>1+2+1</f>
        <v>4</v>
      </c>
      <c r="N342" s="64">
        <v>1</v>
      </c>
      <c r="O342" s="64">
        <f>+Tabla1[[#This Row],[STOCK    FISICO ENERO 2021]]-Tabla1[[#This Row],[REQUISICIONES FEBRERO 2021]]</f>
        <v>1</v>
      </c>
      <c r="P342" s="64">
        <f>+Tabla1[[#This Row],[STOCK  FEBRERO 2021]]-Tabla1[[#This Row],[REQUISICIONES MARZO 2021]]+Tabla1[[#This Row],[ENTRADAS MARZO 2021]]</f>
        <v>0</v>
      </c>
      <c r="Q342" s="31" t="s">
        <v>12</v>
      </c>
      <c r="R342" s="35">
        <v>25</v>
      </c>
      <c r="S342" s="36">
        <f t="shared" si="14"/>
        <v>29.5</v>
      </c>
      <c r="T342" s="100">
        <f>+Tabla1[[#This Row],[STOCK MARZO ]]*Tabla1[[#This Row],[COSTO UNITARIO SIN ITBIS]]</f>
        <v>0</v>
      </c>
    </row>
    <row r="343" spans="1:20" s="9" customFormat="1" x14ac:dyDescent="0.25">
      <c r="A343" s="96">
        <v>37</v>
      </c>
      <c r="B343" s="32">
        <v>44026</v>
      </c>
      <c r="C343" s="29" t="s">
        <v>11</v>
      </c>
      <c r="D343" s="32">
        <v>44026</v>
      </c>
      <c r="E343" s="148"/>
      <c r="F343" s="29">
        <v>1637</v>
      </c>
      <c r="G343" s="33" t="s">
        <v>297</v>
      </c>
      <c r="H343" s="64">
        <f>16+11</f>
        <v>27</v>
      </c>
      <c r="I343" s="64"/>
      <c r="J343" s="64">
        <f>+'INVENTARIO ENERO-MARZO 2021'!$H343-'INVENTARIO ENERO-MARZO 2021'!$I343</f>
        <v>27</v>
      </c>
      <c r="K343" s="64"/>
      <c r="L343" s="64"/>
      <c r="M343" s="64"/>
      <c r="N343" s="64"/>
      <c r="O343" s="64">
        <f>+Tabla1[[#This Row],[STOCK    FISICO ENERO 2021]]-Tabla1[[#This Row],[REQUISICIONES FEBRERO 2021]]</f>
        <v>27</v>
      </c>
      <c r="P343" s="64">
        <f>+Tabla1[[#This Row],[STOCK  FEBRERO 2021]]-Tabla1[[#This Row],[REQUISICIONES MARZO 2021]]+Tabla1[[#This Row],[ENTRADAS MARZO 2021]]</f>
        <v>27</v>
      </c>
      <c r="Q343" s="31" t="s">
        <v>112</v>
      </c>
      <c r="R343" s="35">
        <v>76.27</v>
      </c>
      <c r="S343" s="36">
        <f t="shared" si="14"/>
        <v>89.998599999999996</v>
      </c>
      <c r="T343" s="100">
        <f>+Tabla1[[#This Row],[STOCK MARZO ]]*Tabla1[[#This Row],[COSTO UNITARIO SIN ITBIS]]</f>
        <v>2059.29</v>
      </c>
    </row>
    <row r="344" spans="1:20" s="9" customFormat="1" x14ac:dyDescent="0.25">
      <c r="A344" s="96">
        <v>38</v>
      </c>
      <c r="B344" s="32">
        <v>44026</v>
      </c>
      <c r="C344" s="29" t="s">
        <v>11</v>
      </c>
      <c r="D344" s="32">
        <v>44026</v>
      </c>
      <c r="E344" s="148"/>
      <c r="F344" s="29">
        <v>1635</v>
      </c>
      <c r="G344" s="33" t="s">
        <v>298</v>
      </c>
      <c r="H344" s="64">
        <f>59+17</f>
        <v>76</v>
      </c>
      <c r="I344" s="64">
        <v>1</v>
      </c>
      <c r="J344" s="64">
        <f>+'INVENTARIO ENERO-MARZO 2021'!$H344-'INVENTARIO ENERO-MARZO 2021'!$I344</f>
        <v>75</v>
      </c>
      <c r="K344" s="64"/>
      <c r="L344" s="64"/>
      <c r="M344" s="64"/>
      <c r="N344" s="64">
        <f>4+2</f>
        <v>6</v>
      </c>
      <c r="O344" s="64">
        <f>+Tabla1[[#This Row],[STOCK    FISICO ENERO 2021]]-Tabla1[[#This Row],[REQUISICIONES FEBRERO 2021]]</f>
        <v>75</v>
      </c>
      <c r="P344" s="64">
        <f>+Tabla1[[#This Row],[STOCK  FEBRERO 2021]]-Tabla1[[#This Row],[REQUISICIONES MARZO 2021]]+Tabla1[[#This Row],[ENTRADAS MARZO 2021]]</f>
        <v>69</v>
      </c>
      <c r="Q344" s="31" t="s">
        <v>112</v>
      </c>
      <c r="R344" s="35">
        <v>50.85</v>
      </c>
      <c r="S344" s="36">
        <f t="shared" si="14"/>
        <v>60.003</v>
      </c>
      <c r="T344" s="100">
        <f>+Tabla1[[#This Row],[STOCK MARZO ]]*Tabla1[[#This Row],[COSTO UNITARIO SIN ITBIS]]</f>
        <v>3508.65</v>
      </c>
    </row>
    <row r="345" spans="1:20" s="9" customFormat="1" x14ac:dyDescent="0.25">
      <c r="A345" s="96">
        <v>39</v>
      </c>
      <c r="B345" s="32">
        <v>44026</v>
      </c>
      <c r="C345" s="29" t="s">
        <v>11</v>
      </c>
      <c r="D345" s="32">
        <v>44026</v>
      </c>
      <c r="E345" s="148"/>
      <c r="F345" s="29" t="s">
        <v>23</v>
      </c>
      <c r="G345" s="33" t="s">
        <v>299</v>
      </c>
      <c r="H345" s="64">
        <v>20</v>
      </c>
      <c r="I345" s="64"/>
      <c r="J345" s="64">
        <f>+'INVENTARIO ENERO-MARZO 2021'!$H345-'INVENTARIO ENERO-MARZO 2021'!$I345</f>
        <v>20</v>
      </c>
      <c r="K345" s="64"/>
      <c r="L345" s="64"/>
      <c r="M345" s="64"/>
      <c r="N345" s="64"/>
      <c r="O345" s="64">
        <f>+Tabla1[[#This Row],[STOCK    FISICO ENERO 2021]]-Tabla1[[#This Row],[REQUISICIONES FEBRERO 2021]]</f>
        <v>20</v>
      </c>
      <c r="P345" s="64">
        <f>+Tabla1[[#This Row],[STOCK  FEBRERO 2021]]-Tabla1[[#This Row],[REQUISICIONES MARZO 2021]]+Tabla1[[#This Row],[ENTRADAS MARZO 2021]]</f>
        <v>20</v>
      </c>
      <c r="Q345" s="31" t="s">
        <v>12</v>
      </c>
      <c r="R345" s="35">
        <v>0</v>
      </c>
      <c r="S345" s="36">
        <f t="shared" si="14"/>
        <v>0</v>
      </c>
      <c r="T345" s="100">
        <f>+Tabla1[[#This Row],[STOCK MARZO ]]*Tabla1[[#This Row],[COSTO UNITARIO SIN ITBIS]]</f>
        <v>0</v>
      </c>
    </row>
    <row r="346" spans="1:20" s="9" customFormat="1" x14ac:dyDescent="0.25">
      <c r="A346" s="96">
        <v>40</v>
      </c>
      <c r="B346" s="32">
        <v>44026</v>
      </c>
      <c r="C346" s="29" t="s">
        <v>11</v>
      </c>
      <c r="D346" s="32">
        <v>44026</v>
      </c>
      <c r="E346" s="148"/>
      <c r="F346" s="29">
        <v>1636</v>
      </c>
      <c r="G346" s="33" t="s">
        <v>300</v>
      </c>
      <c r="H346" s="64">
        <f>35+15</f>
        <v>50</v>
      </c>
      <c r="I346" s="64">
        <v>1</v>
      </c>
      <c r="J346" s="64">
        <f>+'INVENTARIO ENERO-MARZO 2021'!$H346-'INVENTARIO ENERO-MARZO 2021'!$I346</f>
        <v>49</v>
      </c>
      <c r="K346" s="64"/>
      <c r="L346" s="64"/>
      <c r="M346" s="64">
        <f>2+2+4</f>
        <v>8</v>
      </c>
      <c r="N346" s="64"/>
      <c r="O346" s="64">
        <f>+Tabla1[[#This Row],[STOCK    FISICO ENERO 2021]]-Tabla1[[#This Row],[REQUISICIONES FEBRERO 2021]]</f>
        <v>41</v>
      </c>
      <c r="P346" s="64">
        <f>+Tabla1[[#This Row],[STOCK  FEBRERO 2021]]-Tabla1[[#This Row],[REQUISICIONES MARZO 2021]]+Tabla1[[#This Row],[ENTRADAS MARZO 2021]]</f>
        <v>41</v>
      </c>
      <c r="Q346" s="31" t="s">
        <v>112</v>
      </c>
      <c r="R346" s="35">
        <v>65.23</v>
      </c>
      <c r="S346" s="36">
        <f t="shared" si="14"/>
        <v>76.971400000000003</v>
      </c>
      <c r="T346" s="100">
        <f>+Tabla1[[#This Row],[STOCK MARZO ]]*Tabla1[[#This Row],[COSTO UNITARIO SIN ITBIS]]</f>
        <v>2674.4300000000003</v>
      </c>
    </row>
    <row r="347" spans="1:20" s="9" customFormat="1" x14ac:dyDescent="0.25">
      <c r="A347" s="96">
        <v>41</v>
      </c>
      <c r="B347" s="32">
        <v>44027</v>
      </c>
      <c r="C347" s="29" t="s">
        <v>11</v>
      </c>
      <c r="D347" s="32">
        <v>44027</v>
      </c>
      <c r="E347" s="148"/>
      <c r="F347" s="29">
        <v>1619</v>
      </c>
      <c r="G347" s="33" t="s">
        <v>301</v>
      </c>
      <c r="H347" s="64">
        <v>23</v>
      </c>
      <c r="I347" s="64"/>
      <c r="J347" s="64">
        <f>+'INVENTARIO ENERO-MARZO 2021'!$H347-'INVENTARIO ENERO-MARZO 2021'!$I347</f>
        <v>23</v>
      </c>
      <c r="K347" s="64"/>
      <c r="L347" s="64"/>
      <c r="M347" s="64">
        <v>3</v>
      </c>
      <c r="N347" s="64"/>
      <c r="O347" s="64">
        <f>+Tabla1[[#This Row],[STOCK    FISICO ENERO 2021]]-Tabla1[[#This Row],[REQUISICIONES FEBRERO 2021]]</f>
        <v>20</v>
      </c>
      <c r="P347" s="64">
        <f>+Tabla1[[#This Row],[STOCK  FEBRERO 2021]]-Tabla1[[#This Row],[REQUISICIONES MARZO 2021]]+Tabla1[[#This Row],[ENTRADAS MARZO 2021]]</f>
        <v>20</v>
      </c>
      <c r="Q347" s="31" t="s">
        <v>112</v>
      </c>
      <c r="R347" s="35">
        <v>8.14</v>
      </c>
      <c r="S347" s="36">
        <f t="shared" si="14"/>
        <v>9.6052</v>
      </c>
      <c r="T347" s="100">
        <f>+Tabla1[[#This Row],[STOCK MARZO ]]*Tabla1[[#This Row],[COSTO UNITARIO SIN ITBIS]]</f>
        <v>162.80000000000001</v>
      </c>
    </row>
    <row r="348" spans="1:20" s="9" customFormat="1" x14ac:dyDescent="0.25">
      <c r="A348" s="96">
        <v>42</v>
      </c>
      <c r="B348" s="32">
        <v>44026</v>
      </c>
      <c r="C348" s="29" t="s">
        <v>11</v>
      </c>
      <c r="D348" s="32">
        <v>44026</v>
      </c>
      <c r="E348" s="148"/>
      <c r="F348" s="29">
        <v>1620</v>
      </c>
      <c r="G348" s="33" t="s">
        <v>302</v>
      </c>
      <c r="H348" s="64">
        <v>0</v>
      </c>
      <c r="I348" s="64"/>
      <c r="J348" s="64">
        <f>+'INVENTARIO ENERO-MARZO 2021'!$H348-'INVENTARIO ENERO-MARZO 2021'!$I348</f>
        <v>0</v>
      </c>
      <c r="K348" s="64"/>
      <c r="L348" s="64"/>
      <c r="M348" s="64"/>
      <c r="N348" s="64"/>
      <c r="O348" s="64">
        <f>+Tabla1[[#This Row],[STOCK    FISICO ENERO 2021]]-Tabla1[[#This Row],[REQUISICIONES FEBRERO 2021]]</f>
        <v>0</v>
      </c>
      <c r="P348" s="64">
        <f>+Tabla1[[#This Row],[STOCK  FEBRERO 2021]]-Tabla1[[#This Row],[REQUISICIONES MARZO 2021]]+Tabla1[[#This Row],[ENTRADAS MARZO 2021]]</f>
        <v>0</v>
      </c>
      <c r="Q348" s="31" t="s">
        <v>112</v>
      </c>
      <c r="R348" s="35">
        <v>14.24</v>
      </c>
      <c r="S348" s="36">
        <f t="shared" si="14"/>
        <v>16.8032</v>
      </c>
      <c r="T348" s="100">
        <f>+Tabla1[[#This Row],[STOCK MARZO ]]*Tabla1[[#This Row],[COSTO UNITARIO SIN ITBIS]]</f>
        <v>0</v>
      </c>
    </row>
    <row r="349" spans="1:20" s="9" customFormat="1" x14ac:dyDescent="0.25">
      <c r="A349" s="96">
        <v>43</v>
      </c>
      <c r="B349" s="32">
        <v>44168</v>
      </c>
      <c r="C349" s="29" t="s">
        <v>11</v>
      </c>
      <c r="D349" s="32">
        <v>44152</v>
      </c>
      <c r="E349" s="148"/>
      <c r="F349" s="29">
        <v>1437</v>
      </c>
      <c r="G349" s="33" t="s">
        <v>303</v>
      </c>
      <c r="H349" s="64">
        <v>0</v>
      </c>
      <c r="I349" s="64"/>
      <c r="J349" s="64">
        <f>+'INVENTARIO ENERO-MARZO 2021'!$H349-'INVENTARIO ENERO-MARZO 2021'!$I349</f>
        <v>0</v>
      </c>
      <c r="K349" s="64"/>
      <c r="L349" s="64"/>
      <c r="M349" s="64"/>
      <c r="N349" s="64"/>
      <c r="O349" s="64">
        <f>+Tabla1[[#This Row],[STOCK    FISICO ENERO 2021]]-Tabla1[[#This Row],[REQUISICIONES FEBRERO 2021]]</f>
        <v>0</v>
      </c>
      <c r="P349" s="64">
        <f>+Tabla1[[#This Row],[STOCK  FEBRERO 2021]]-Tabla1[[#This Row],[REQUISICIONES MARZO 2021]]+Tabla1[[#This Row],[ENTRADAS MARZO 2021]]</f>
        <v>0</v>
      </c>
      <c r="Q349" s="31" t="s">
        <v>12</v>
      </c>
      <c r="R349" s="35">
        <v>10.88</v>
      </c>
      <c r="S349" s="36">
        <f t="shared" si="14"/>
        <v>12.8384</v>
      </c>
      <c r="T349" s="100">
        <f>+Tabla1[[#This Row],[STOCK MARZO ]]*Tabla1[[#This Row],[COSTO UNITARIO SIN ITBIS]]</f>
        <v>0</v>
      </c>
    </row>
    <row r="350" spans="1:20" s="9" customFormat="1" x14ac:dyDescent="0.25">
      <c r="A350" s="96">
        <v>44</v>
      </c>
      <c r="B350" s="32">
        <v>43089</v>
      </c>
      <c r="C350" s="29" t="s">
        <v>11</v>
      </c>
      <c r="D350" s="32">
        <v>43089</v>
      </c>
      <c r="E350" s="148"/>
      <c r="F350" s="29">
        <v>1435</v>
      </c>
      <c r="G350" s="33" t="s">
        <v>304</v>
      </c>
      <c r="H350" s="64">
        <v>0</v>
      </c>
      <c r="I350" s="64"/>
      <c r="J350" s="64">
        <f>+'INVENTARIO ENERO-MARZO 2021'!$H350-'INVENTARIO ENERO-MARZO 2021'!$I350</f>
        <v>0</v>
      </c>
      <c r="K350" s="64"/>
      <c r="L350" s="64"/>
      <c r="M350" s="64"/>
      <c r="N350" s="64"/>
      <c r="O350" s="64">
        <f>+Tabla1[[#This Row],[STOCK    FISICO ENERO 2021]]-Tabla1[[#This Row],[REQUISICIONES FEBRERO 2021]]</f>
        <v>0</v>
      </c>
      <c r="P350" s="64">
        <f>+Tabla1[[#This Row],[STOCK  FEBRERO 2021]]-Tabla1[[#This Row],[REQUISICIONES MARZO 2021]]+Tabla1[[#This Row],[ENTRADAS MARZO 2021]]</f>
        <v>0</v>
      </c>
      <c r="Q350" s="31" t="s">
        <v>12</v>
      </c>
      <c r="R350" s="35">
        <v>10.88</v>
      </c>
      <c r="S350" s="36">
        <f t="shared" si="14"/>
        <v>12.8384</v>
      </c>
      <c r="T350" s="100">
        <f>+Tabla1[[#This Row],[STOCK MARZO ]]*Tabla1[[#This Row],[COSTO UNITARIO SIN ITBIS]]</f>
        <v>0</v>
      </c>
    </row>
    <row r="351" spans="1:20" s="9" customFormat="1" x14ac:dyDescent="0.25">
      <c r="A351" s="96">
        <v>45</v>
      </c>
      <c r="B351" s="32">
        <v>44168</v>
      </c>
      <c r="C351" s="29" t="s">
        <v>11</v>
      </c>
      <c r="D351" s="32">
        <v>44152</v>
      </c>
      <c r="E351" s="148"/>
      <c r="F351" s="29">
        <v>1436</v>
      </c>
      <c r="G351" s="33" t="s">
        <v>305</v>
      </c>
      <c r="H351" s="64">
        <v>0</v>
      </c>
      <c r="I351" s="64"/>
      <c r="J351" s="64">
        <f>+'INVENTARIO ENERO-MARZO 2021'!$H351-'INVENTARIO ENERO-MARZO 2021'!$I351</f>
        <v>0</v>
      </c>
      <c r="K351" s="64"/>
      <c r="L351" s="64"/>
      <c r="M351" s="64"/>
      <c r="N351" s="64"/>
      <c r="O351" s="64">
        <f>+Tabla1[[#This Row],[STOCK    FISICO ENERO 2021]]-Tabla1[[#This Row],[REQUISICIONES FEBRERO 2021]]</f>
        <v>0</v>
      </c>
      <c r="P351" s="64">
        <f>+Tabla1[[#This Row],[STOCK  FEBRERO 2021]]-Tabla1[[#This Row],[REQUISICIONES MARZO 2021]]+Tabla1[[#This Row],[ENTRADAS MARZO 2021]]</f>
        <v>0</v>
      </c>
      <c r="Q351" s="31" t="s">
        <v>12</v>
      </c>
      <c r="R351" s="35">
        <v>10.88</v>
      </c>
      <c r="S351" s="36">
        <f t="shared" si="14"/>
        <v>12.8384</v>
      </c>
      <c r="T351" s="100">
        <f>+Tabla1[[#This Row],[STOCK MARZO ]]*Tabla1[[#This Row],[COSTO UNITARIO SIN ITBIS]]</f>
        <v>0</v>
      </c>
    </row>
    <row r="352" spans="1:20" s="9" customFormat="1" x14ac:dyDescent="0.25">
      <c r="A352" s="96">
        <v>46</v>
      </c>
      <c r="B352" s="32">
        <v>44168</v>
      </c>
      <c r="C352" s="29" t="s">
        <v>11</v>
      </c>
      <c r="D352" s="32">
        <v>44152</v>
      </c>
      <c r="E352" s="148"/>
      <c r="F352" s="29" t="s">
        <v>23</v>
      </c>
      <c r="G352" s="33" t="s">
        <v>306</v>
      </c>
      <c r="H352" s="64">
        <v>6</v>
      </c>
      <c r="I352" s="64"/>
      <c r="J352" s="64">
        <f>+'INVENTARIO ENERO-MARZO 2021'!$H352-'INVENTARIO ENERO-MARZO 2021'!$I352</f>
        <v>6</v>
      </c>
      <c r="K352" s="64"/>
      <c r="L352" s="64"/>
      <c r="M352" s="64"/>
      <c r="N352" s="64"/>
      <c r="O352" s="64">
        <f>+Tabla1[[#This Row],[STOCK    FISICO ENERO 2021]]-Tabla1[[#This Row],[REQUISICIONES FEBRERO 2021]]</f>
        <v>6</v>
      </c>
      <c r="P352" s="64">
        <f>+Tabla1[[#This Row],[STOCK  FEBRERO 2021]]-Tabla1[[#This Row],[REQUISICIONES MARZO 2021]]+Tabla1[[#This Row],[ENTRADAS MARZO 2021]]</f>
        <v>6</v>
      </c>
      <c r="Q352" s="31" t="s">
        <v>12</v>
      </c>
      <c r="R352" s="35">
        <v>0</v>
      </c>
      <c r="S352" s="36">
        <f t="shared" si="14"/>
        <v>0</v>
      </c>
      <c r="T352" s="100">
        <f>+Tabla1[[#This Row],[STOCK MARZO ]]*Tabla1[[#This Row],[COSTO UNITARIO SIN ITBIS]]</f>
        <v>0</v>
      </c>
    </row>
    <row r="353" spans="1:20" s="9" customFormat="1" x14ac:dyDescent="0.25">
      <c r="A353" s="96">
        <v>47</v>
      </c>
      <c r="B353" s="32">
        <v>44110</v>
      </c>
      <c r="C353" s="29" t="s">
        <v>11</v>
      </c>
      <c r="D353" s="32">
        <v>44110</v>
      </c>
      <c r="E353" s="148"/>
      <c r="F353" s="29"/>
      <c r="G353" s="33" t="s">
        <v>307</v>
      </c>
      <c r="H353" s="64">
        <v>10</v>
      </c>
      <c r="I353" s="64"/>
      <c r="J353" s="64">
        <f>+'INVENTARIO ENERO-MARZO 2021'!$H353-'INVENTARIO ENERO-MARZO 2021'!$I353</f>
        <v>10</v>
      </c>
      <c r="K353" s="64"/>
      <c r="L353" s="64"/>
      <c r="M353" s="64"/>
      <c r="N353" s="64"/>
      <c r="O353" s="64">
        <f>+Tabla1[[#This Row],[STOCK    FISICO ENERO 2021]]-Tabla1[[#This Row],[REQUISICIONES FEBRERO 2021]]</f>
        <v>10</v>
      </c>
      <c r="P353" s="64">
        <f>+Tabla1[[#This Row],[STOCK  FEBRERO 2021]]-Tabla1[[#This Row],[REQUISICIONES MARZO 2021]]+Tabla1[[#This Row],[ENTRADAS MARZO 2021]]</f>
        <v>10</v>
      </c>
      <c r="Q353" s="31" t="s">
        <v>12</v>
      </c>
      <c r="R353" s="35">
        <v>188.8</v>
      </c>
      <c r="S353" s="36">
        <f t="shared" si="14"/>
        <v>222.78400000000002</v>
      </c>
      <c r="T353" s="100">
        <f>+Tabla1[[#This Row],[STOCK MARZO ]]*Tabla1[[#This Row],[COSTO UNITARIO SIN ITBIS]]</f>
        <v>1888</v>
      </c>
    </row>
    <row r="354" spans="1:20" s="9" customFormat="1" x14ac:dyDescent="0.25">
      <c r="A354" s="96">
        <v>48</v>
      </c>
      <c r="B354" s="32">
        <v>44168</v>
      </c>
      <c r="C354" s="29" t="s">
        <v>11</v>
      </c>
      <c r="D354" s="32">
        <v>44152</v>
      </c>
      <c r="E354" s="148"/>
      <c r="F354" s="29"/>
      <c r="G354" s="33" t="s">
        <v>308</v>
      </c>
      <c r="H354" s="64">
        <v>1</v>
      </c>
      <c r="I354" s="64"/>
      <c r="J354" s="64">
        <f>+'INVENTARIO ENERO-MARZO 2021'!$H354-'INVENTARIO ENERO-MARZO 2021'!$I354</f>
        <v>1</v>
      </c>
      <c r="K354" s="64"/>
      <c r="L354" s="64"/>
      <c r="M354" s="64"/>
      <c r="N354" s="64"/>
      <c r="O354" s="64">
        <f>+Tabla1[[#This Row],[STOCK    FISICO ENERO 2021]]-Tabla1[[#This Row],[REQUISICIONES FEBRERO 2021]]</f>
        <v>1</v>
      </c>
      <c r="P354" s="64">
        <f>+Tabla1[[#This Row],[STOCK  FEBRERO 2021]]-Tabla1[[#This Row],[REQUISICIONES MARZO 2021]]+Tabla1[[#This Row],[ENTRADAS MARZO 2021]]</f>
        <v>1</v>
      </c>
      <c r="Q354" s="31" t="s">
        <v>12</v>
      </c>
      <c r="R354" s="35">
        <v>212.4</v>
      </c>
      <c r="S354" s="36">
        <f t="shared" si="14"/>
        <v>250.63200000000001</v>
      </c>
      <c r="T354" s="100">
        <f>+Tabla1[[#This Row],[STOCK MARZO ]]*Tabla1[[#This Row],[COSTO UNITARIO SIN ITBIS]]</f>
        <v>212.4</v>
      </c>
    </row>
    <row r="355" spans="1:20" s="9" customFormat="1" x14ac:dyDescent="0.25">
      <c r="A355" s="96">
        <v>49</v>
      </c>
      <c r="B355" s="32">
        <v>44026</v>
      </c>
      <c r="C355" s="29" t="s">
        <v>11</v>
      </c>
      <c r="D355" s="32">
        <v>44026</v>
      </c>
      <c r="E355" s="148"/>
      <c r="F355" s="29">
        <v>1642</v>
      </c>
      <c r="G355" s="33" t="s">
        <v>309</v>
      </c>
      <c r="H355" s="64">
        <v>0</v>
      </c>
      <c r="I355" s="64"/>
      <c r="J355" s="64">
        <f>+'INVENTARIO ENERO-MARZO 2021'!$H355-'INVENTARIO ENERO-MARZO 2021'!$I355</f>
        <v>0</v>
      </c>
      <c r="K355" s="64"/>
      <c r="L355" s="64"/>
      <c r="M355" s="64"/>
      <c r="N355" s="64"/>
      <c r="O355" s="64">
        <f>+Tabla1[[#This Row],[STOCK    FISICO ENERO 2021]]-Tabla1[[#This Row],[REQUISICIONES FEBRERO 2021]]</f>
        <v>0</v>
      </c>
      <c r="P355" s="64">
        <f>+Tabla1[[#This Row],[STOCK  FEBRERO 2021]]-Tabla1[[#This Row],[REQUISICIONES MARZO 2021]]+Tabla1[[#This Row],[ENTRADAS MARZO 2021]]</f>
        <v>0</v>
      </c>
      <c r="Q355" s="31" t="s">
        <v>12</v>
      </c>
      <c r="R355" s="35">
        <v>122.5</v>
      </c>
      <c r="S355" s="36">
        <f t="shared" si="14"/>
        <v>144.55000000000001</v>
      </c>
      <c r="T355" s="100">
        <f>+Tabla1[[#This Row],[STOCK MARZO ]]*Tabla1[[#This Row],[COSTO UNITARIO SIN ITBIS]]</f>
        <v>0</v>
      </c>
    </row>
    <row r="356" spans="1:20" s="9" customFormat="1" x14ac:dyDescent="0.25">
      <c r="A356" s="96">
        <v>50</v>
      </c>
      <c r="B356" s="32">
        <v>44026</v>
      </c>
      <c r="C356" s="29" t="s">
        <v>11</v>
      </c>
      <c r="D356" s="32">
        <v>44026</v>
      </c>
      <c r="E356" s="148"/>
      <c r="F356" s="29"/>
      <c r="G356" s="33" t="s">
        <v>310</v>
      </c>
      <c r="H356" s="64">
        <v>4</v>
      </c>
      <c r="I356" s="64"/>
      <c r="J356" s="64">
        <f>+'INVENTARIO ENERO-MARZO 2021'!$H356-'INVENTARIO ENERO-MARZO 2021'!$I356</f>
        <v>4</v>
      </c>
      <c r="K356" s="64"/>
      <c r="L356" s="64"/>
      <c r="M356" s="64"/>
      <c r="N356" s="64"/>
      <c r="O356" s="64">
        <f>+Tabla1[[#This Row],[STOCK    FISICO ENERO 2021]]-Tabla1[[#This Row],[REQUISICIONES FEBRERO 2021]]</f>
        <v>4</v>
      </c>
      <c r="P356" s="64">
        <f>+Tabla1[[#This Row],[STOCK  FEBRERO 2021]]-Tabla1[[#This Row],[REQUISICIONES MARZO 2021]]+Tabla1[[#This Row],[ENTRADAS MARZO 2021]]</f>
        <v>4</v>
      </c>
      <c r="Q356" s="31" t="s">
        <v>12</v>
      </c>
      <c r="R356" s="35">
        <v>417.72</v>
      </c>
      <c r="S356" s="36">
        <f t="shared" si="14"/>
        <v>492.90960000000001</v>
      </c>
      <c r="T356" s="100">
        <f>+Tabla1[[#This Row],[STOCK MARZO ]]*Tabla1[[#This Row],[COSTO UNITARIO SIN ITBIS]]</f>
        <v>1670.88</v>
      </c>
    </row>
    <row r="357" spans="1:20" s="9" customFormat="1" x14ac:dyDescent="0.25">
      <c r="A357" s="96">
        <v>51</v>
      </c>
      <c r="B357" s="32">
        <v>43453</v>
      </c>
      <c r="C357" s="29" t="s">
        <v>11</v>
      </c>
      <c r="D357" s="32">
        <v>43453</v>
      </c>
      <c r="E357" s="148"/>
      <c r="F357" s="29"/>
      <c r="G357" s="33" t="s">
        <v>311</v>
      </c>
      <c r="H357" s="64">
        <v>4</v>
      </c>
      <c r="I357" s="64"/>
      <c r="J357" s="64">
        <f>+'INVENTARIO ENERO-MARZO 2021'!$H357-'INVENTARIO ENERO-MARZO 2021'!$I357</f>
        <v>4</v>
      </c>
      <c r="K357" s="64"/>
      <c r="L357" s="64"/>
      <c r="M357" s="64"/>
      <c r="N357" s="64"/>
      <c r="O357" s="64">
        <f>+Tabla1[[#This Row],[STOCK    FISICO ENERO 2021]]-Tabla1[[#This Row],[REQUISICIONES FEBRERO 2021]]</f>
        <v>4</v>
      </c>
      <c r="P357" s="64">
        <f>+Tabla1[[#This Row],[STOCK  FEBRERO 2021]]-Tabla1[[#This Row],[REQUISICIONES MARZO 2021]]+Tabla1[[#This Row],[ENTRADAS MARZO 2021]]</f>
        <v>4</v>
      </c>
      <c r="Q357" s="31" t="s">
        <v>12</v>
      </c>
      <c r="R357" s="35">
        <v>417.72</v>
      </c>
      <c r="S357" s="36">
        <f t="shared" si="14"/>
        <v>492.90960000000001</v>
      </c>
      <c r="T357" s="100">
        <f>+Tabla1[[#This Row],[STOCK MARZO ]]*Tabla1[[#This Row],[COSTO UNITARIO SIN ITBIS]]</f>
        <v>1670.88</v>
      </c>
    </row>
    <row r="358" spans="1:20" s="9" customFormat="1" x14ac:dyDescent="0.25">
      <c r="A358" s="96">
        <v>52</v>
      </c>
      <c r="B358" s="32">
        <v>43453</v>
      </c>
      <c r="C358" s="29" t="s">
        <v>11</v>
      </c>
      <c r="D358" s="32">
        <v>43453</v>
      </c>
      <c r="E358" s="148"/>
      <c r="F358" s="29">
        <v>1606</v>
      </c>
      <c r="G358" s="33" t="s">
        <v>312</v>
      </c>
      <c r="H358" s="64">
        <v>30</v>
      </c>
      <c r="I358" s="64"/>
      <c r="J358" s="64">
        <f>+'INVENTARIO ENERO-MARZO 2021'!$H358-'INVENTARIO ENERO-MARZO 2021'!$I358</f>
        <v>30</v>
      </c>
      <c r="K358" s="64"/>
      <c r="L358" s="64"/>
      <c r="M358" s="64"/>
      <c r="N358" s="64"/>
      <c r="O358" s="64">
        <f>+Tabla1[[#This Row],[STOCK    FISICO ENERO 2021]]-Tabla1[[#This Row],[REQUISICIONES FEBRERO 2021]]</f>
        <v>30</v>
      </c>
      <c r="P358" s="64">
        <f>+Tabla1[[#This Row],[STOCK  FEBRERO 2021]]-Tabla1[[#This Row],[REQUISICIONES MARZO 2021]]+Tabla1[[#This Row],[ENTRADAS MARZO 2021]]</f>
        <v>30</v>
      </c>
      <c r="Q358" s="31" t="s">
        <v>12</v>
      </c>
      <c r="R358" s="35">
        <v>270</v>
      </c>
      <c r="S358" s="36">
        <f t="shared" si="14"/>
        <v>318.60000000000002</v>
      </c>
      <c r="T358" s="100">
        <f>+Tabla1[[#This Row],[STOCK MARZO ]]*Tabla1[[#This Row],[COSTO UNITARIO SIN ITBIS]]</f>
        <v>8100</v>
      </c>
    </row>
    <row r="359" spans="1:20" s="9" customFormat="1" x14ac:dyDescent="0.25">
      <c r="A359" s="96">
        <v>53</v>
      </c>
      <c r="B359" s="32">
        <v>44110</v>
      </c>
      <c r="C359" s="29" t="s">
        <v>11</v>
      </c>
      <c r="D359" s="32">
        <v>44110</v>
      </c>
      <c r="E359" s="148"/>
      <c r="F359" s="29"/>
      <c r="G359" s="33" t="s">
        <v>313</v>
      </c>
      <c r="H359" s="64">
        <v>0</v>
      </c>
      <c r="I359" s="64"/>
      <c r="J359" s="64">
        <f>+'INVENTARIO ENERO-MARZO 2021'!$H359-'INVENTARIO ENERO-MARZO 2021'!$I359</f>
        <v>0</v>
      </c>
      <c r="K359" s="64"/>
      <c r="L359" s="64"/>
      <c r="M359" s="64"/>
      <c r="N359" s="64"/>
      <c r="O359" s="64">
        <f>+Tabla1[[#This Row],[STOCK    FISICO ENERO 2021]]-Tabla1[[#This Row],[REQUISICIONES FEBRERO 2021]]</f>
        <v>0</v>
      </c>
      <c r="P359" s="64">
        <f>+Tabla1[[#This Row],[STOCK  FEBRERO 2021]]-Tabla1[[#This Row],[REQUISICIONES MARZO 2021]]+Tabla1[[#This Row],[ENTRADAS MARZO 2021]]</f>
        <v>0</v>
      </c>
      <c r="Q359" s="31" t="s">
        <v>12</v>
      </c>
      <c r="R359" s="35">
        <v>1180</v>
      </c>
      <c r="S359" s="36">
        <f t="shared" si="14"/>
        <v>1392.4</v>
      </c>
      <c r="T359" s="100">
        <f>+Tabla1[[#This Row],[STOCK MARZO ]]*Tabla1[[#This Row],[COSTO UNITARIO SIN ITBIS]]</f>
        <v>0</v>
      </c>
    </row>
    <row r="360" spans="1:20" s="9" customFormat="1" x14ac:dyDescent="0.25">
      <c r="A360" s="96">
        <v>54</v>
      </c>
      <c r="B360" s="32">
        <v>44026</v>
      </c>
      <c r="C360" s="29" t="s">
        <v>11</v>
      </c>
      <c r="D360" s="32">
        <v>44026</v>
      </c>
      <c r="E360" s="148"/>
      <c r="F360" s="29">
        <v>1597</v>
      </c>
      <c r="G360" s="33" t="s">
        <v>314</v>
      </c>
      <c r="H360" s="64"/>
      <c r="I360" s="64"/>
      <c r="J360" s="64">
        <f>+'INVENTARIO ENERO-MARZO 2021'!$H360-'INVENTARIO ENERO-MARZO 2021'!$I360</f>
        <v>0</v>
      </c>
      <c r="K360" s="64"/>
      <c r="L360" s="64"/>
      <c r="M360" s="64"/>
      <c r="N360" s="64"/>
      <c r="O360" s="64">
        <f>+Tabla1[[#This Row],[STOCK    FISICO ENERO 2021]]-Tabla1[[#This Row],[REQUISICIONES FEBRERO 2021]]</f>
        <v>0</v>
      </c>
      <c r="P360" s="64">
        <f>+Tabla1[[#This Row],[STOCK  FEBRERO 2021]]-Tabla1[[#This Row],[REQUISICIONES MARZO 2021]]+Tabla1[[#This Row],[ENTRADAS MARZO 2021]]</f>
        <v>0</v>
      </c>
      <c r="Q360" s="31" t="s">
        <v>12</v>
      </c>
      <c r="R360" s="35">
        <v>178.8</v>
      </c>
      <c r="S360" s="36">
        <f t="shared" si="14"/>
        <v>210.98400000000001</v>
      </c>
      <c r="T360" s="100">
        <f>+Tabla1[[#This Row],[STOCK MARZO ]]*Tabla1[[#This Row],[COSTO UNITARIO SIN ITBIS]]</f>
        <v>0</v>
      </c>
    </row>
    <row r="361" spans="1:20" s="9" customFormat="1" ht="15.75" customHeight="1" x14ac:dyDescent="0.25">
      <c r="A361" s="96">
        <v>55</v>
      </c>
      <c r="B361" s="32">
        <v>43223</v>
      </c>
      <c r="C361" s="29" t="s">
        <v>11</v>
      </c>
      <c r="D361" s="32">
        <v>43223</v>
      </c>
      <c r="E361" s="148"/>
      <c r="F361" s="29"/>
      <c r="G361" s="33" t="s">
        <v>315</v>
      </c>
      <c r="H361" s="64">
        <v>11</v>
      </c>
      <c r="I361" s="64"/>
      <c r="J361" s="64">
        <f>+'INVENTARIO ENERO-MARZO 2021'!$H361-'INVENTARIO ENERO-MARZO 2021'!$I361</f>
        <v>11</v>
      </c>
      <c r="K361" s="64"/>
      <c r="L361" s="64"/>
      <c r="M361" s="64"/>
      <c r="N361" s="64"/>
      <c r="O361" s="64">
        <f>+Tabla1[[#This Row],[STOCK    FISICO ENERO 2021]]-Tabla1[[#This Row],[REQUISICIONES FEBRERO 2021]]</f>
        <v>11</v>
      </c>
      <c r="P361" s="64">
        <f>+Tabla1[[#This Row],[STOCK  FEBRERO 2021]]-Tabla1[[#This Row],[REQUISICIONES MARZO 2021]]+Tabla1[[#This Row],[ENTRADAS MARZO 2021]]</f>
        <v>11</v>
      </c>
      <c r="Q361" s="31" t="s">
        <v>12</v>
      </c>
      <c r="R361" s="35">
        <v>590</v>
      </c>
      <c r="S361" s="36">
        <f t="shared" si="14"/>
        <v>696.2</v>
      </c>
      <c r="T361" s="100">
        <f>+Tabla1[[#This Row],[STOCK MARZO ]]*Tabla1[[#This Row],[COSTO UNITARIO SIN ITBIS]]</f>
        <v>6490</v>
      </c>
    </row>
    <row r="362" spans="1:20" s="9" customFormat="1" x14ac:dyDescent="0.25">
      <c r="A362" s="96">
        <v>56</v>
      </c>
      <c r="B362" s="32">
        <v>44026</v>
      </c>
      <c r="C362" s="29" t="s">
        <v>11</v>
      </c>
      <c r="D362" s="32">
        <v>44026</v>
      </c>
      <c r="E362" s="148"/>
      <c r="F362" s="73"/>
      <c r="G362" s="33" t="s">
        <v>316</v>
      </c>
      <c r="H362" s="64">
        <v>4</v>
      </c>
      <c r="I362" s="64"/>
      <c r="J362" s="64">
        <f>+'INVENTARIO ENERO-MARZO 2021'!$H362-'INVENTARIO ENERO-MARZO 2021'!$I362</f>
        <v>4</v>
      </c>
      <c r="K362" s="64"/>
      <c r="L362" s="64"/>
      <c r="M362" s="64"/>
      <c r="N362" s="64"/>
      <c r="O362" s="64">
        <f>+Tabla1[[#This Row],[STOCK    FISICO ENERO 2021]]-Tabla1[[#This Row],[REQUISICIONES FEBRERO 2021]]</f>
        <v>4</v>
      </c>
      <c r="P362" s="64">
        <f>+Tabla1[[#This Row],[STOCK  FEBRERO 2021]]-Tabla1[[#This Row],[REQUISICIONES MARZO 2021]]+Tabla1[[#This Row],[ENTRADAS MARZO 2021]]</f>
        <v>4</v>
      </c>
      <c r="Q362" s="31" t="s">
        <v>12</v>
      </c>
      <c r="R362" s="35">
        <v>277.14</v>
      </c>
      <c r="S362" s="36">
        <f t="shared" si="14"/>
        <v>327.02519999999998</v>
      </c>
      <c r="T362" s="100">
        <f>+Tabla1[[#This Row],[STOCK MARZO ]]*Tabla1[[#This Row],[COSTO UNITARIO SIN ITBIS]]</f>
        <v>1108.56</v>
      </c>
    </row>
    <row r="363" spans="1:20" s="9" customFormat="1" x14ac:dyDescent="0.25">
      <c r="A363" s="96">
        <v>57</v>
      </c>
      <c r="B363" s="32">
        <v>44026</v>
      </c>
      <c r="C363" s="29" t="s">
        <v>11</v>
      </c>
      <c r="D363" s="32">
        <v>44026</v>
      </c>
      <c r="E363" s="148"/>
      <c r="F363" s="29">
        <v>1627</v>
      </c>
      <c r="G363" s="33" t="s">
        <v>317</v>
      </c>
      <c r="H363" s="64">
        <v>0</v>
      </c>
      <c r="I363" s="64"/>
      <c r="J363" s="64">
        <f>+'INVENTARIO ENERO-MARZO 2021'!$H363-'INVENTARIO ENERO-MARZO 2021'!$I363</f>
        <v>0</v>
      </c>
      <c r="K363" s="64"/>
      <c r="L363" s="64"/>
      <c r="M363" s="64"/>
      <c r="N363" s="64"/>
      <c r="O363" s="64">
        <f>+Tabla1[[#This Row],[STOCK    FISICO ENERO 2021]]-Tabla1[[#This Row],[REQUISICIONES FEBRERO 2021]]</f>
        <v>0</v>
      </c>
      <c r="P363" s="64">
        <f>+Tabla1[[#This Row],[STOCK  FEBRERO 2021]]-Tabla1[[#This Row],[REQUISICIONES MARZO 2021]]+Tabla1[[#This Row],[ENTRADAS MARZO 2021]]</f>
        <v>0</v>
      </c>
      <c r="Q363" s="31" t="s">
        <v>112</v>
      </c>
      <c r="R363" s="35">
        <v>148.82</v>
      </c>
      <c r="S363" s="36">
        <f t="shared" si="14"/>
        <v>175.60759999999999</v>
      </c>
      <c r="T363" s="100">
        <f>+Tabla1[[#This Row],[STOCK MARZO ]]*Tabla1[[#This Row],[COSTO UNITARIO SIN ITBIS]]</f>
        <v>0</v>
      </c>
    </row>
    <row r="364" spans="1:20" s="9" customFormat="1" x14ac:dyDescent="0.25">
      <c r="A364" s="96">
        <v>58</v>
      </c>
      <c r="B364" s="32">
        <v>44026</v>
      </c>
      <c r="C364" s="29" t="s">
        <v>11</v>
      </c>
      <c r="D364" s="32">
        <v>44026</v>
      </c>
      <c r="E364" s="148"/>
      <c r="F364" s="29">
        <v>1100</v>
      </c>
      <c r="G364" s="33" t="s">
        <v>318</v>
      </c>
      <c r="H364" s="64">
        <f>62+4</f>
        <v>66</v>
      </c>
      <c r="I364" s="64"/>
      <c r="J364" s="64">
        <f>+'INVENTARIO ENERO-MARZO 2021'!$H364-'INVENTARIO ENERO-MARZO 2021'!$I364</f>
        <v>66</v>
      </c>
      <c r="K364" s="64"/>
      <c r="L364" s="64"/>
      <c r="M364" s="64"/>
      <c r="N364" s="64"/>
      <c r="O364" s="64">
        <f>+Tabla1[[#This Row],[STOCK    FISICO ENERO 2021]]-Tabla1[[#This Row],[REQUISICIONES FEBRERO 2021]]</f>
        <v>66</v>
      </c>
      <c r="P364" s="64">
        <f>+Tabla1[[#This Row],[STOCK  FEBRERO 2021]]-Tabla1[[#This Row],[REQUISICIONES MARZO 2021]]+Tabla1[[#This Row],[ENTRADAS MARZO 2021]]</f>
        <v>66</v>
      </c>
      <c r="Q364" s="31" t="s">
        <v>12</v>
      </c>
      <c r="R364" s="35">
        <v>75</v>
      </c>
      <c r="S364" s="36">
        <f t="shared" si="14"/>
        <v>88.5</v>
      </c>
      <c r="T364" s="100">
        <f>+Tabla1[[#This Row],[STOCK MARZO ]]*Tabla1[[#This Row],[COSTO UNITARIO SIN ITBIS]]</f>
        <v>4950</v>
      </c>
    </row>
    <row r="365" spans="1:20" s="9" customFormat="1" x14ac:dyDescent="0.25">
      <c r="A365" s="96">
        <v>59</v>
      </c>
      <c r="B365" s="32">
        <v>43080</v>
      </c>
      <c r="C365" s="29" t="s">
        <v>11</v>
      </c>
      <c r="D365" s="32">
        <v>43080</v>
      </c>
      <c r="E365" s="148"/>
      <c r="F365" s="29">
        <v>1098</v>
      </c>
      <c r="G365" s="33" t="s">
        <v>319</v>
      </c>
      <c r="H365" s="64">
        <f>71+22</f>
        <v>93</v>
      </c>
      <c r="I365" s="64"/>
      <c r="J365" s="64">
        <f>+'INVENTARIO ENERO-MARZO 2021'!$H365-'INVENTARIO ENERO-MARZO 2021'!$I365</f>
        <v>93</v>
      </c>
      <c r="K365" s="64"/>
      <c r="L365" s="64"/>
      <c r="M365" s="64"/>
      <c r="N365" s="64">
        <v>1</v>
      </c>
      <c r="O365" s="64">
        <f>+Tabla1[[#This Row],[STOCK    FISICO ENERO 2021]]-Tabla1[[#This Row],[REQUISICIONES FEBRERO 2021]]</f>
        <v>93</v>
      </c>
      <c r="P365" s="64">
        <f>+Tabla1[[#This Row],[STOCK  FEBRERO 2021]]-Tabla1[[#This Row],[REQUISICIONES MARZO 2021]]+Tabla1[[#This Row],[ENTRADAS MARZO 2021]]</f>
        <v>92</v>
      </c>
      <c r="Q365" s="31" t="s">
        <v>12</v>
      </c>
      <c r="R365" s="35">
        <v>75</v>
      </c>
      <c r="S365" s="36">
        <f t="shared" si="14"/>
        <v>88.5</v>
      </c>
      <c r="T365" s="100">
        <f>+Tabla1[[#This Row],[STOCK MARZO ]]*Tabla1[[#This Row],[COSTO UNITARIO SIN ITBIS]]</f>
        <v>6900</v>
      </c>
    </row>
    <row r="366" spans="1:20" s="9" customFormat="1" x14ac:dyDescent="0.25">
      <c r="A366" s="96">
        <v>60</v>
      </c>
      <c r="B366" s="32">
        <v>43089</v>
      </c>
      <c r="C366" s="29" t="s">
        <v>11</v>
      </c>
      <c r="D366" s="32">
        <v>43089</v>
      </c>
      <c r="E366" s="148"/>
      <c r="F366" s="29">
        <v>1099</v>
      </c>
      <c r="G366" s="33" t="s">
        <v>320</v>
      </c>
      <c r="H366" s="64">
        <v>39</v>
      </c>
      <c r="I366" s="64"/>
      <c r="J366" s="64">
        <f>+'INVENTARIO ENERO-MARZO 2021'!$H366-'INVENTARIO ENERO-MARZO 2021'!$I366</f>
        <v>39</v>
      </c>
      <c r="K366" s="64"/>
      <c r="L366" s="64"/>
      <c r="M366" s="64"/>
      <c r="N366" s="64"/>
      <c r="O366" s="64">
        <f>+Tabla1[[#This Row],[STOCK    FISICO ENERO 2021]]-Tabla1[[#This Row],[REQUISICIONES FEBRERO 2021]]</f>
        <v>39</v>
      </c>
      <c r="P366" s="64">
        <f>+Tabla1[[#This Row],[STOCK  FEBRERO 2021]]-Tabla1[[#This Row],[REQUISICIONES MARZO 2021]]+Tabla1[[#This Row],[ENTRADAS MARZO 2021]]</f>
        <v>39</v>
      </c>
      <c r="Q366" s="31" t="s">
        <v>12</v>
      </c>
      <c r="R366" s="35">
        <v>75</v>
      </c>
      <c r="S366" s="36">
        <f t="shared" si="14"/>
        <v>88.5</v>
      </c>
      <c r="T366" s="100">
        <f>+Tabla1[[#This Row],[STOCK MARZO ]]*Tabla1[[#This Row],[COSTO UNITARIO SIN ITBIS]]</f>
        <v>2925</v>
      </c>
    </row>
    <row r="367" spans="1:20" s="9" customFormat="1" x14ac:dyDescent="0.25">
      <c r="A367" s="96">
        <v>61</v>
      </c>
      <c r="B367" s="32">
        <v>43089</v>
      </c>
      <c r="C367" s="29" t="s">
        <v>11</v>
      </c>
      <c r="D367" s="32">
        <v>43089</v>
      </c>
      <c r="E367" s="148"/>
      <c r="F367" s="29" t="s">
        <v>23</v>
      </c>
      <c r="G367" s="33" t="s">
        <v>321</v>
      </c>
      <c r="H367" s="64">
        <v>8</v>
      </c>
      <c r="I367" s="64"/>
      <c r="J367" s="64">
        <f>+'INVENTARIO ENERO-MARZO 2021'!$H367-'INVENTARIO ENERO-MARZO 2021'!$I367</f>
        <v>8</v>
      </c>
      <c r="K367" s="64"/>
      <c r="L367" s="64"/>
      <c r="M367" s="64"/>
      <c r="N367" s="64"/>
      <c r="O367" s="64">
        <f>+Tabla1[[#This Row],[STOCK    FISICO ENERO 2021]]-Tabla1[[#This Row],[REQUISICIONES FEBRERO 2021]]</f>
        <v>8</v>
      </c>
      <c r="P367" s="64">
        <f>+Tabla1[[#This Row],[STOCK  FEBRERO 2021]]-Tabla1[[#This Row],[REQUISICIONES MARZO 2021]]+Tabla1[[#This Row],[ENTRADAS MARZO 2021]]</f>
        <v>8</v>
      </c>
      <c r="Q367" s="31" t="s">
        <v>112</v>
      </c>
      <c r="R367" s="35">
        <v>0</v>
      </c>
      <c r="S367" s="36">
        <f t="shared" si="14"/>
        <v>0</v>
      </c>
      <c r="T367" s="100">
        <f>+Tabla1[[#This Row],[STOCK MARZO ]]*Tabla1[[#This Row],[COSTO UNITARIO SIN ITBIS]]</f>
        <v>0</v>
      </c>
    </row>
    <row r="368" spans="1:20" s="9" customFormat="1" x14ac:dyDescent="0.25">
      <c r="A368" s="96">
        <v>62</v>
      </c>
      <c r="B368" s="32">
        <v>44110</v>
      </c>
      <c r="C368" s="29" t="s">
        <v>11</v>
      </c>
      <c r="D368" s="32">
        <v>44110</v>
      </c>
      <c r="E368" s="148"/>
      <c r="F368" s="29" t="s">
        <v>23</v>
      </c>
      <c r="G368" s="33" t="s">
        <v>322</v>
      </c>
      <c r="H368" s="64">
        <v>92</v>
      </c>
      <c r="I368" s="64"/>
      <c r="J368" s="64">
        <f>+'INVENTARIO ENERO-MARZO 2021'!$H368-'INVENTARIO ENERO-MARZO 2021'!$I368</f>
        <v>92</v>
      </c>
      <c r="K368" s="64"/>
      <c r="L368" s="64"/>
      <c r="M368" s="64">
        <v>4</v>
      </c>
      <c r="N368" s="64">
        <v>1</v>
      </c>
      <c r="O368" s="64">
        <f>+Tabla1[[#This Row],[STOCK    FISICO ENERO 2021]]-Tabla1[[#This Row],[REQUISICIONES FEBRERO 2021]]</f>
        <v>88</v>
      </c>
      <c r="P368" s="64">
        <f>+Tabla1[[#This Row],[STOCK  FEBRERO 2021]]-Tabla1[[#This Row],[REQUISICIONES MARZO 2021]]+Tabla1[[#This Row],[ENTRADAS MARZO 2021]]</f>
        <v>87</v>
      </c>
      <c r="Q368" s="31" t="s">
        <v>112</v>
      </c>
      <c r="R368" s="35">
        <v>1761.4</v>
      </c>
      <c r="S368" s="36">
        <f t="shared" si="14"/>
        <v>2078.4520000000002</v>
      </c>
      <c r="T368" s="100">
        <f>+Tabla1[[#This Row],[STOCK MARZO ]]*Tabla1[[#This Row],[COSTO UNITARIO SIN ITBIS]]</f>
        <v>153241.80000000002</v>
      </c>
    </row>
    <row r="369" spans="1:20" s="9" customFormat="1" x14ac:dyDescent="0.25">
      <c r="A369" s="96">
        <v>63</v>
      </c>
      <c r="B369" s="32">
        <v>44110</v>
      </c>
      <c r="C369" s="29" t="s">
        <v>11</v>
      </c>
      <c r="D369" s="32">
        <v>44110</v>
      </c>
      <c r="E369" s="148"/>
      <c r="F369" s="29" t="s">
        <v>23</v>
      </c>
      <c r="G369" s="33" t="s">
        <v>323</v>
      </c>
      <c r="H369" s="64">
        <v>15</v>
      </c>
      <c r="I369" s="64"/>
      <c r="J369" s="64">
        <f>+'INVENTARIO ENERO-MARZO 2021'!$H369-'INVENTARIO ENERO-MARZO 2021'!$I369</f>
        <v>15</v>
      </c>
      <c r="K369" s="64"/>
      <c r="L369" s="64"/>
      <c r="M369" s="64"/>
      <c r="N369" s="64"/>
      <c r="O369" s="64">
        <f>+Tabla1[[#This Row],[STOCK    FISICO ENERO 2021]]-Tabla1[[#This Row],[REQUISICIONES FEBRERO 2021]]</f>
        <v>15</v>
      </c>
      <c r="P369" s="64">
        <f>+Tabla1[[#This Row],[STOCK  FEBRERO 2021]]-Tabla1[[#This Row],[REQUISICIONES MARZO 2021]]+Tabla1[[#This Row],[ENTRADAS MARZO 2021]]</f>
        <v>15</v>
      </c>
      <c r="Q369" s="31" t="s">
        <v>112</v>
      </c>
      <c r="R369" s="35">
        <v>2240.8200000000002</v>
      </c>
      <c r="S369" s="36">
        <f t="shared" si="14"/>
        <v>2644.1676000000002</v>
      </c>
      <c r="T369" s="100">
        <f>+Tabla1[[#This Row],[STOCK MARZO ]]*Tabla1[[#This Row],[COSTO UNITARIO SIN ITBIS]]</f>
        <v>33612.300000000003</v>
      </c>
    </row>
    <row r="370" spans="1:20" s="9" customFormat="1" x14ac:dyDescent="0.25">
      <c r="A370" s="96">
        <v>64</v>
      </c>
      <c r="B370" s="32">
        <v>44110</v>
      </c>
      <c r="C370" s="29" t="s">
        <v>11</v>
      </c>
      <c r="D370" s="32">
        <v>44110</v>
      </c>
      <c r="E370" s="148"/>
      <c r="F370" s="29" t="s">
        <v>23</v>
      </c>
      <c r="G370" s="33" t="s">
        <v>324</v>
      </c>
      <c r="H370" s="64">
        <v>20</v>
      </c>
      <c r="I370" s="64"/>
      <c r="J370" s="64">
        <f>+'INVENTARIO ENERO-MARZO 2021'!$H370-'INVENTARIO ENERO-MARZO 2021'!$I370</f>
        <v>20</v>
      </c>
      <c r="K370" s="64"/>
      <c r="L370" s="64"/>
      <c r="M370" s="64"/>
      <c r="N370" s="64">
        <v>2</v>
      </c>
      <c r="O370" s="64">
        <f>+Tabla1[[#This Row],[STOCK    FISICO ENERO 2021]]-Tabla1[[#This Row],[REQUISICIONES FEBRERO 2021]]</f>
        <v>20</v>
      </c>
      <c r="P370" s="64">
        <f>+Tabla1[[#This Row],[STOCK  FEBRERO 2021]]-Tabla1[[#This Row],[REQUISICIONES MARZO 2021]]+Tabla1[[#This Row],[ENTRADAS MARZO 2021]]</f>
        <v>18</v>
      </c>
      <c r="Q370" s="31" t="s">
        <v>112</v>
      </c>
      <c r="R370" s="35">
        <v>2241.79</v>
      </c>
      <c r="S370" s="36">
        <f t="shared" si="14"/>
        <v>2645.3121999999998</v>
      </c>
      <c r="T370" s="100">
        <f>+Tabla1[[#This Row],[STOCK MARZO ]]*Tabla1[[#This Row],[COSTO UNITARIO SIN ITBIS]]</f>
        <v>40352.22</v>
      </c>
    </row>
    <row r="371" spans="1:20" s="9" customFormat="1" x14ac:dyDescent="0.25">
      <c r="A371" s="96">
        <v>65</v>
      </c>
      <c r="B371" s="32">
        <v>44110</v>
      </c>
      <c r="C371" s="29" t="s">
        <v>11</v>
      </c>
      <c r="D371" s="32">
        <v>44110</v>
      </c>
      <c r="E371" s="148"/>
      <c r="F371" s="29" t="s">
        <v>23</v>
      </c>
      <c r="G371" s="33" t="s">
        <v>325</v>
      </c>
      <c r="H371" s="64">
        <v>25</v>
      </c>
      <c r="I371" s="64"/>
      <c r="J371" s="64">
        <f>+'INVENTARIO ENERO-MARZO 2021'!$H371-'INVENTARIO ENERO-MARZO 2021'!$I371</f>
        <v>25</v>
      </c>
      <c r="K371" s="64"/>
      <c r="L371" s="64"/>
      <c r="M371" s="64"/>
      <c r="N371" s="64"/>
      <c r="O371" s="64">
        <f>+Tabla1[[#This Row],[STOCK    FISICO ENERO 2021]]-Tabla1[[#This Row],[REQUISICIONES FEBRERO 2021]]</f>
        <v>25</v>
      </c>
      <c r="P371" s="64">
        <f>+Tabla1[[#This Row],[STOCK  FEBRERO 2021]]-Tabla1[[#This Row],[REQUISICIONES MARZO 2021]]+Tabla1[[#This Row],[ENTRADAS MARZO 2021]]</f>
        <v>25</v>
      </c>
      <c r="Q371" s="31" t="s">
        <v>112</v>
      </c>
      <c r="R371" s="35">
        <v>3378.34</v>
      </c>
      <c r="S371" s="36">
        <f t="shared" ref="S371:S398" si="15">R371*0.18+R371</f>
        <v>3986.4412000000002</v>
      </c>
      <c r="T371" s="100">
        <f>+Tabla1[[#This Row],[STOCK MARZO ]]*Tabla1[[#This Row],[COSTO UNITARIO SIN ITBIS]]</f>
        <v>84458.5</v>
      </c>
    </row>
    <row r="372" spans="1:20" s="9" customFormat="1" x14ac:dyDescent="0.25">
      <c r="A372" s="96">
        <v>66</v>
      </c>
      <c r="B372" s="32">
        <v>44110</v>
      </c>
      <c r="C372" s="29" t="s">
        <v>11</v>
      </c>
      <c r="D372" s="32">
        <v>44110</v>
      </c>
      <c r="E372" s="148"/>
      <c r="F372" s="29">
        <v>1107</v>
      </c>
      <c r="G372" s="33" t="s">
        <v>326</v>
      </c>
      <c r="H372" s="64">
        <v>6</v>
      </c>
      <c r="I372" s="64"/>
      <c r="J372" s="64">
        <f>+'INVENTARIO ENERO-MARZO 2021'!$H372-'INVENTARIO ENERO-MARZO 2021'!$I372</f>
        <v>6</v>
      </c>
      <c r="K372" s="64"/>
      <c r="L372" s="64"/>
      <c r="M372" s="64">
        <v>1</v>
      </c>
      <c r="N372" s="64"/>
      <c r="O372" s="64">
        <f>+Tabla1[[#This Row],[STOCK    FISICO ENERO 2021]]-Tabla1[[#This Row],[REQUISICIONES FEBRERO 2021]]</f>
        <v>5</v>
      </c>
      <c r="P372" s="64">
        <f>+Tabla1[[#This Row],[STOCK  FEBRERO 2021]]-Tabla1[[#This Row],[REQUISICIONES MARZO 2021]]+Tabla1[[#This Row],[ENTRADAS MARZO 2021]]</f>
        <v>5</v>
      </c>
      <c r="Q372" s="31" t="s">
        <v>112</v>
      </c>
      <c r="R372" s="35">
        <v>0</v>
      </c>
      <c r="S372" s="36">
        <f t="shared" si="15"/>
        <v>0</v>
      </c>
      <c r="T372" s="100">
        <f>+Tabla1[[#This Row],[STOCK MARZO ]]*Tabla1[[#This Row],[COSTO UNITARIO SIN ITBIS]]</f>
        <v>0</v>
      </c>
    </row>
    <row r="373" spans="1:20" s="9" customFormat="1" x14ac:dyDescent="0.25">
      <c r="A373" s="96">
        <v>67</v>
      </c>
      <c r="B373" s="32">
        <v>44026</v>
      </c>
      <c r="C373" s="29" t="s">
        <v>11</v>
      </c>
      <c r="D373" s="32">
        <v>44026</v>
      </c>
      <c r="E373" s="148"/>
      <c r="F373" s="29">
        <v>1603</v>
      </c>
      <c r="G373" s="33" t="s">
        <v>327</v>
      </c>
      <c r="H373" s="64">
        <v>20</v>
      </c>
      <c r="I373" s="64"/>
      <c r="J373" s="64">
        <f>+'INVENTARIO ENERO-MARZO 2021'!$H373-'INVENTARIO ENERO-MARZO 2021'!$I373</f>
        <v>20</v>
      </c>
      <c r="K373" s="64"/>
      <c r="L373" s="64"/>
      <c r="M373" s="64"/>
      <c r="N373" s="64"/>
      <c r="O373" s="64">
        <f>+Tabla1[[#This Row],[STOCK    FISICO ENERO 2021]]-Tabla1[[#This Row],[REQUISICIONES FEBRERO 2021]]</f>
        <v>20</v>
      </c>
      <c r="P373" s="64">
        <f>+Tabla1[[#This Row],[STOCK  FEBRERO 2021]]-Tabla1[[#This Row],[REQUISICIONES MARZO 2021]]+Tabla1[[#This Row],[ENTRADAS MARZO 2021]]</f>
        <v>20</v>
      </c>
      <c r="Q373" s="31" t="s">
        <v>12</v>
      </c>
      <c r="R373" s="35">
        <v>115.93</v>
      </c>
      <c r="S373" s="36">
        <f t="shared" si="15"/>
        <v>136.79740000000001</v>
      </c>
      <c r="T373" s="100">
        <f>+Tabla1[[#This Row],[STOCK MARZO ]]*Tabla1[[#This Row],[COSTO UNITARIO SIN ITBIS]]</f>
        <v>2318.6000000000004</v>
      </c>
    </row>
    <row r="374" spans="1:20" s="9" customFormat="1" x14ac:dyDescent="0.25">
      <c r="A374" s="96">
        <v>68</v>
      </c>
      <c r="B374" s="32">
        <v>44026</v>
      </c>
      <c r="C374" s="29" t="s">
        <v>11</v>
      </c>
      <c r="D374" s="32">
        <v>44026</v>
      </c>
      <c r="E374" s="148"/>
      <c r="F374" s="29">
        <v>1602</v>
      </c>
      <c r="G374" s="33" t="s">
        <v>328</v>
      </c>
      <c r="H374" s="64">
        <v>20</v>
      </c>
      <c r="I374" s="64"/>
      <c r="J374" s="64">
        <f>+'INVENTARIO ENERO-MARZO 2021'!$H374-'INVENTARIO ENERO-MARZO 2021'!$I374</f>
        <v>20</v>
      </c>
      <c r="K374" s="64"/>
      <c r="L374" s="64"/>
      <c r="M374" s="64"/>
      <c r="N374" s="64"/>
      <c r="O374" s="64">
        <f>+Tabla1[[#This Row],[STOCK    FISICO ENERO 2021]]-Tabla1[[#This Row],[REQUISICIONES FEBRERO 2021]]</f>
        <v>20</v>
      </c>
      <c r="P374" s="64">
        <f>+Tabla1[[#This Row],[STOCK  FEBRERO 2021]]-Tabla1[[#This Row],[REQUISICIONES MARZO 2021]]+Tabla1[[#This Row],[ENTRADAS MARZO 2021]]</f>
        <v>20</v>
      </c>
      <c r="Q374" s="31" t="s">
        <v>112</v>
      </c>
      <c r="R374" s="35">
        <v>193.22</v>
      </c>
      <c r="S374" s="36">
        <f t="shared" si="15"/>
        <v>227.99959999999999</v>
      </c>
      <c r="T374" s="100">
        <f>+Tabla1[[#This Row],[STOCK MARZO ]]*Tabla1[[#This Row],[COSTO UNITARIO SIN ITBIS]]</f>
        <v>3864.4</v>
      </c>
    </row>
    <row r="375" spans="1:20" s="9" customFormat="1" x14ac:dyDescent="0.25">
      <c r="A375" s="96">
        <v>69</v>
      </c>
      <c r="B375" s="32">
        <v>44026</v>
      </c>
      <c r="C375" s="29" t="s">
        <v>11</v>
      </c>
      <c r="D375" s="32">
        <v>44026</v>
      </c>
      <c r="E375" s="148"/>
      <c r="F375" s="29" t="s">
        <v>23</v>
      </c>
      <c r="G375" s="33" t="s">
        <v>329</v>
      </c>
      <c r="H375" s="64">
        <v>10</v>
      </c>
      <c r="I375" s="64"/>
      <c r="J375" s="64">
        <f>+'INVENTARIO ENERO-MARZO 2021'!$H375-'INVENTARIO ENERO-MARZO 2021'!$I375</f>
        <v>10</v>
      </c>
      <c r="K375" s="64"/>
      <c r="L375" s="64"/>
      <c r="M375" s="64"/>
      <c r="N375" s="64"/>
      <c r="O375" s="64">
        <f>+Tabla1[[#This Row],[STOCK    FISICO ENERO 2021]]-Tabla1[[#This Row],[REQUISICIONES FEBRERO 2021]]</f>
        <v>10</v>
      </c>
      <c r="P375" s="64">
        <f>+Tabla1[[#This Row],[STOCK  FEBRERO 2021]]-Tabla1[[#This Row],[REQUISICIONES MARZO 2021]]+Tabla1[[#This Row],[ENTRADAS MARZO 2021]]</f>
        <v>10</v>
      </c>
      <c r="Q375" s="31" t="s">
        <v>112</v>
      </c>
      <c r="R375" s="35">
        <v>0</v>
      </c>
      <c r="S375" s="36">
        <f t="shared" si="15"/>
        <v>0</v>
      </c>
      <c r="T375" s="100">
        <f>+Tabla1[[#This Row],[STOCK MARZO ]]*Tabla1[[#This Row],[COSTO UNITARIO SIN ITBIS]]</f>
        <v>0</v>
      </c>
    </row>
    <row r="376" spans="1:20" s="9" customFormat="1" x14ac:dyDescent="0.25">
      <c r="A376" s="96">
        <v>70</v>
      </c>
      <c r="B376" s="32">
        <v>44110</v>
      </c>
      <c r="C376" s="29" t="s">
        <v>11</v>
      </c>
      <c r="D376" s="32">
        <v>44110</v>
      </c>
      <c r="E376" s="148"/>
      <c r="F376" s="29">
        <v>1645</v>
      </c>
      <c r="G376" s="33" t="s">
        <v>330</v>
      </c>
      <c r="H376" s="64"/>
      <c r="I376" s="64"/>
      <c r="J376" s="64">
        <f>+'INVENTARIO ENERO-MARZO 2021'!$H376-'INVENTARIO ENERO-MARZO 2021'!$I376</f>
        <v>0</v>
      </c>
      <c r="K376" s="64"/>
      <c r="L376" s="64"/>
      <c r="M376" s="64"/>
      <c r="N376" s="64"/>
      <c r="O376" s="64">
        <f>+Tabla1[[#This Row],[STOCK    FISICO ENERO 2021]]-Tabla1[[#This Row],[REQUISICIONES FEBRERO 2021]]</f>
        <v>0</v>
      </c>
      <c r="P376" s="64">
        <f>+Tabla1[[#This Row],[STOCK  FEBRERO 2021]]-Tabla1[[#This Row],[REQUISICIONES MARZO 2021]]+Tabla1[[#This Row],[ENTRADAS MARZO 2021]]</f>
        <v>0</v>
      </c>
      <c r="Q376" s="31" t="s">
        <v>112</v>
      </c>
      <c r="R376" s="35">
        <v>2745.76</v>
      </c>
      <c r="S376" s="36">
        <f t="shared" si="15"/>
        <v>3239.9968000000003</v>
      </c>
      <c r="T376" s="100">
        <f>+Tabla1[[#This Row],[STOCK MARZO ]]*Tabla1[[#This Row],[COSTO UNITARIO SIN ITBIS]]</f>
        <v>0</v>
      </c>
    </row>
    <row r="377" spans="1:20" s="9" customFormat="1" x14ac:dyDescent="0.25">
      <c r="A377" s="96">
        <v>71</v>
      </c>
      <c r="B377" s="32">
        <v>44026</v>
      </c>
      <c r="C377" s="29" t="s">
        <v>11</v>
      </c>
      <c r="D377" s="32">
        <v>44026</v>
      </c>
      <c r="E377" s="148"/>
      <c r="F377" s="29">
        <v>1751</v>
      </c>
      <c r="G377" s="33" t="s">
        <v>331</v>
      </c>
      <c r="H377" s="64">
        <v>1</v>
      </c>
      <c r="I377" s="64"/>
      <c r="J377" s="64">
        <f>+'INVENTARIO ENERO-MARZO 2021'!$H377-'INVENTARIO ENERO-MARZO 2021'!$I377</f>
        <v>1</v>
      </c>
      <c r="K377" s="64"/>
      <c r="L377" s="64"/>
      <c r="M377" s="64"/>
      <c r="N377" s="64"/>
      <c r="O377" s="64">
        <f>+Tabla1[[#This Row],[STOCK    FISICO ENERO 2021]]-Tabla1[[#This Row],[REQUISICIONES FEBRERO 2021]]</f>
        <v>1</v>
      </c>
      <c r="P377" s="64">
        <f>+Tabla1[[#This Row],[STOCK  FEBRERO 2021]]-Tabla1[[#This Row],[REQUISICIONES MARZO 2021]]+Tabla1[[#This Row],[ENTRADAS MARZO 2021]]</f>
        <v>1</v>
      </c>
      <c r="Q377" s="31" t="s">
        <v>12</v>
      </c>
      <c r="R377" s="35">
        <v>142.68</v>
      </c>
      <c r="S377" s="36">
        <f t="shared" si="15"/>
        <v>168.36240000000001</v>
      </c>
      <c r="T377" s="100">
        <f>+Tabla1[[#This Row],[STOCK MARZO ]]*Tabla1[[#This Row],[COSTO UNITARIO SIN ITBIS]]</f>
        <v>142.68</v>
      </c>
    </row>
    <row r="378" spans="1:20" s="9" customFormat="1" x14ac:dyDescent="0.25">
      <c r="A378" s="96">
        <v>72</v>
      </c>
      <c r="B378" s="32">
        <v>44027</v>
      </c>
      <c r="C378" s="29" t="s">
        <v>11</v>
      </c>
      <c r="D378" s="32">
        <v>44027</v>
      </c>
      <c r="E378" s="148"/>
      <c r="F378" s="29">
        <v>1752</v>
      </c>
      <c r="G378" s="33" t="s">
        <v>332</v>
      </c>
      <c r="H378" s="64">
        <v>1</v>
      </c>
      <c r="I378" s="64"/>
      <c r="J378" s="64">
        <f>+'INVENTARIO ENERO-MARZO 2021'!$H378-'INVENTARIO ENERO-MARZO 2021'!$I378</f>
        <v>1</v>
      </c>
      <c r="K378" s="64"/>
      <c r="L378" s="64"/>
      <c r="M378" s="64"/>
      <c r="N378" s="64"/>
      <c r="O378" s="64">
        <f>+Tabla1[[#This Row],[STOCK    FISICO ENERO 2021]]-Tabla1[[#This Row],[REQUISICIONES FEBRERO 2021]]</f>
        <v>1</v>
      </c>
      <c r="P378" s="64">
        <f>+Tabla1[[#This Row],[STOCK  FEBRERO 2021]]-Tabla1[[#This Row],[REQUISICIONES MARZO 2021]]+Tabla1[[#This Row],[ENTRADAS MARZO 2021]]</f>
        <v>1</v>
      </c>
      <c r="Q378" s="31" t="s">
        <v>12</v>
      </c>
      <c r="R378" s="35">
        <v>126</v>
      </c>
      <c r="S378" s="36">
        <f t="shared" si="15"/>
        <v>148.68</v>
      </c>
      <c r="T378" s="100">
        <f>+Tabla1[[#This Row],[STOCK MARZO ]]*Tabla1[[#This Row],[COSTO UNITARIO SIN ITBIS]]</f>
        <v>126</v>
      </c>
    </row>
    <row r="379" spans="1:20" s="9" customFormat="1" x14ac:dyDescent="0.25">
      <c r="A379" s="96">
        <v>73</v>
      </c>
      <c r="B379" s="32">
        <v>44027</v>
      </c>
      <c r="C379" s="29" t="s">
        <v>11</v>
      </c>
      <c r="D379" s="32">
        <v>44027</v>
      </c>
      <c r="E379" s="148"/>
      <c r="F379" s="29">
        <v>1753</v>
      </c>
      <c r="G379" s="33" t="s">
        <v>333</v>
      </c>
      <c r="H379" s="64">
        <v>1</v>
      </c>
      <c r="I379" s="64"/>
      <c r="J379" s="64">
        <f>+'INVENTARIO ENERO-MARZO 2021'!$H379-'INVENTARIO ENERO-MARZO 2021'!$I379</f>
        <v>1</v>
      </c>
      <c r="K379" s="64"/>
      <c r="L379" s="64"/>
      <c r="M379" s="64"/>
      <c r="N379" s="64"/>
      <c r="O379" s="64">
        <f>+Tabla1[[#This Row],[STOCK    FISICO ENERO 2021]]-Tabla1[[#This Row],[REQUISICIONES FEBRERO 2021]]</f>
        <v>1</v>
      </c>
      <c r="P379" s="64">
        <f>+Tabla1[[#This Row],[STOCK  FEBRERO 2021]]-Tabla1[[#This Row],[REQUISICIONES MARZO 2021]]+Tabla1[[#This Row],[ENTRADAS MARZO 2021]]</f>
        <v>1</v>
      </c>
      <c r="Q379" s="31" t="s">
        <v>12</v>
      </c>
      <c r="R379" s="35">
        <v>216.48</v>
      </c>
      <c r="S379" s="36">
        <f t="shared" si="15"/>
        <v>255.44639999999998</v>
      </c>
      <c r="T379" s="100">
        <f>+Tabla1[[#This Row],[STOCK MARZO ]]*Tabla1[[#This Row],[COSTO UNITARIO SIN ITBIS]]</f>
        <v>216.48</v>
      </c>
    </row>
    <row r="380" spans="1:20" s="9" customFormat="1" x14ac:dyDescent="0.25">
      <c r="A380" s="96">
        <v>74</v>
      </c>
      <c r="B380" s="32">
        <v>44027</v>
      </c>
      <c r="C380" s="29" t="s">
        <v>11</v>
      </c>
      <c r="D380" s="32">
        <v>44027</v>
      </c>
      <c r="E380" s="148"/>
      <c r="F380" s="29">
        <v>1595</v>
      </c>
      <c r="G380" s="33" t="s">
        <v>334</v>
      </c>
      <c r="H380" s="64">
        <v>1</v>
      </c>
      <c r="I380" s="64">
        <v>1</v>
      </c>
      <c r="J380" s="64">
        <f>+'INVENTARIO ENERO-MARZO 2021'!$H380-'INVENTARIO ENERO-MARZO 2021'!$I380+1</f>
        <v>1</v>
      </c>
      <c r="K380" s="64"/>
      <c r="L380" s="64"/>
      <c r="M380" s="64">
        <v>1</v>
      </c>
      <c r="N380" s="64"/>
      <c r="O380" s="64">
        <f>+Tabla1[[#This Row],[STOCK    FISICO ENERO 2021]]-Tabla1[[#This Row],[REQUISICIONES FEBRERO 2021]]</f>
        <v>0</v>
      </c>
      <c r="P380" s="64">
        <f>+Tabla1[[#This Row],[STOCK  FEBRERO 2021]]-Tabla1[[#This Row],[REQUISICIONES MARZO 2021]]+Tabla1[[#This Row],[ENTRADAS MARZO 2021]]</f>
        <v>0</v>
      </c>
      <c r="Q380" s="31" t="s">
        <v>112</v>
      </c>
      <c r="R380" s="35">
        <v>508.47</v>
      </c>
      <c r="S380" s="36">
        <f t="shared" si="15"/>
        <v>599.99459999999999</v>
      </c>
      <c r="T380" s="100">
        <f>+Tabla1[[#This Row],[STOCK MARZO ]]*Tabla1[[#This Row],[COSTO UNITARIO SIN ITBIS]]</f>
        <v>0</v>
      </c>
    </row>
    <row r="381" spans="1:20" s="9" customFormat="1" x14ac:dyDescent="0.25">
      <c r="A381" s="96">
        <v>75</v>
      </c>
      <c r="B381" s="32">
        <v>43223</v>
      </c>
      <c r="C381" s="29" t="s">
        <v>11</v>
      </c>
      <c r="D381" s="32">
        <v>43223</v>
      </c>
      <c r="E381" s="148"/>
      <c r="F381" s="29">
        <v>1315</v>
      </c>
      <c r="G381" s="33" t="s">
        <v>335</v>
      </c>
      <c r="H381" s="64">
        <v>0</v>
      </c>
      <c r="I381" s="64"/>
      <c r="J381" s="64">
        <f>+'INVENTARIO ENERO-MARZO 2021'!$H381-'INVENTARIO ENERO-MARZO 2021'!$I381</f>
        <v>0</v>
      </c>
      <c r="K381" s="64"/>
      <c r="L381" s="64"/>
      <c r="M381" s="64"/>
      <c r="N381" s="64"/>
      <c r="O381" s="64">
        <f>+Tabla1[[#This Row],[STOCK    FISICO ENERO 2021]]-Tabla1[[#This Row],[REQUISICIONES FEBRERO 2021]]</f>
        <v>0</v>
      </c>
      <c r="P381" s="64">
        <f>+Tabla1[[#This Row],[STOCK  FEBRERO 2021]]-Tabla1[[#This Row],[REQUISICIONES MARZO 2021]]+Tabla1[[#This Row],[ENTRADAS MARZO 2021]]</f>
        <v>0</v>
      </c>
      <c r="Q381" s="31" t="s">
        <v>12</v>
      </c>
      <c r="R381" s="35">
        <v>48.99</v>
      </c>
      <c r="S381" s="36">
        <f t="shared" si="15"/>
        <v>57.808199999999999</v>
      </c>
      <c r="T381" s="100">
        <f>+Tabla1[[#This Row],[STOCK MARZO ]]*Tabla1[[#This Row],[COSTO UNITARIO SIN ITBIS]]</f>
        <v>0</v>
      </c>
    </row>
    <row r="382" spans="1:20" s="9" customFormat="1" x14ac:dyDescent="0.25">
      <c r="A382" s="96">
        <v>76</v>
      </c>
      <c r="B382" s="32">
        <v>44026</v>
      </c>
      <c r="C382" s="29" t="s">
        <v>11</v>
      </c>
      <c r="D382" s="32">
        <v>44026</v>
      </c>
      <c r="E382" s="148"/>
      <c r="F382" s="29">
        <v>1629</v>
      </c>
      <c r="G382" s="33" t="s">
        <v>336</v>
      </c>
      <c r="H382" s="64">
        <v>4</v>
      </c>
      <c r="I382" s="64"/>
      <c r="J382" s="64">
        <f>+'INVENTARIO ENERO-MARZO 2021'!$H382-'INVENTARIO ENERO-MARZO 2021'!$I382</f>
        <v>4</v>
      </c>
      <c r="K382" s="64"/>
      <c r="L382" s="64"/>
      <c r="M382" s="64"/>
      <c r="N382" s="64">
        <v>1</v>
      </c>
      <c r="O382" s="64">
        <f>+Tabla1[[#This Row],[STOCK    FISICO ENERO 2021]]-Tabla1[[#This Row],[REQUISICIONES FEBRERO 2021]]</f>
        <v>4</v>
      </c>
      <c r="P382" s="64">
        <f>+Tabla1[[#This Row],[STOCK  FEBRERO 2021]]-Tabla1[[#This Row],[REQUISICIONES MARZO 2021]]+Tabla1[[#This Row],[ENTRADAS MARZO 2021]]</f>
        <v>3</v>
      </c>
      <c r="Q382" s="31" t="s">
        <v>112</v>
      </c>
      <c r="R382" s="35">
        <v>813.56</v>
      </c>
      <c r="S382" s="36">
        <f t="shared" si="15"/>
        <v>960.00079999999991</v>
      </c>
      <c r="T382" s="100">
        <f>+Tabla1[[#This Row],[STOCK MARZO ]]*Tabla1[[#This Row],[COSTO UNITARIO SIN ITBIS]]</f>
        <v>2440.6799999999998</v>
      </c>
    </row>
    <row r="383" spans="1:20" s="9" customFormat="1" x14ac:dyDescent="0.25">
      <c r="A383" s="96">
        <v>77</v>
      </c>
      <c r="B383" s="32">
        <v>44168</v>
      </c>
      <c r="C383" s="29" t="s">
        <v>11</v>
      </c>
      <c r="D383" s="32">
        <v>44152</v>
      </c>
      <c r="E383" s="148"/>
      <c r="F383" s="29">
        <v>1185</v>
      </c>
      <c r="G383" s="33" t="s">
        <v>337</v>
      </c>
      <c r="H383" s="64">
        <v>10</v>
      </c>
      <c r="I383" s="64"/>
      <c r="J383" s="64">
        <f>+'INVENTARIO ENERO-MARZO 2021'!$H383-'INVENTARIO ENERO-MARZO 2021'!$I383</f>
        <v>10</v>
      </c>
      <c r="K383" s="64"/>
      <c r="L383" s="64"/>
      <c r="M383" s="64">
        <v>1</v>
      </c>
      <c r="N383" s="64">
        <f>1+2</f>
        <v>3</v>
      </c>
      <c r="O383" s="64">
        <f>+Tabla1[[#This Row],[STOCK    FISICO ENERO 2021]]-Tabla1[[#This Row],[REQUISICIONES FEBRERO 2021]]</f>
        <v>9</v>
      </c>
      <c r="P383" s="64">
        <f>+Tabla1[[#This Row],[STOCK  FEBRERO 2021]]-Tabla1[[#This Row],[REQUISICIONES MARZO 2021]]+Tabla1[[#This Row],[ENTRADAS MARZO 2021]]</f>
        <v>6</v>
      </c>
      <c r="Q383" s="31" t="s">
        <v>12</v>
      </c>
      <c r="R383" s="35">
        <v>383.5</v>
      </c>
      <c r="S383" s="36">
        <f t="shared" si="15"/>
        <v>452.53</v>
      </c>
      <c r="T383" s="100">
        <f>+Tabla1[[#This Row],[STOCK MARZO ]]*Tabla1[[#This Row],[COSTO UNITARIO SIN ITBIS]]</f>
        <v>2301</v>
      </c>
    </row>
    <row r="384" spans="1:20" s="9" customFormat="1" x14ac:dyDescent="0.25">
      <c r="A384" s="96">
        <v>78</v>
      </c>
      <c r="B384" s="32">
        <v>43075</v>
      </c>
      <c r="C384" s="29" t="s">
        <v>11</v>
      </c>
      <c r="D384" s="32">
        <v>43075</v>
      </c>
      <c r="E384" s="148"/>
      <c r="F384" s="29">
        <v>1183</v>
      </c>
      <c r="G384" s="33" t="s">
        <v>338</v>
      </c>
      <c r="H384" s="64"/>
      <c r="I384" s="64"/>
      <c r="J384" s="64">
        <f>+'INVENTARIO ENERO-MARZO 2021'!$H384-'INVENTARIO ENERO-MARZO 2021'!$I384</f>
        <v>0</v>
      </c>
      <c r="K384" s="64"/>
      <c r="L384" s="64"/>
      <c r="M384" s="64"/>
      <c r="N384" s="64"/>
      <c r="O384" s="64">
        <f>+Tabla1[[#This Row],[STOCK    FISICO ENERO 2021]]-Tabla1[[#This Row],[REQUISICIONES FEBRERO 2021]]</f>
        <v>0</v>
      </c>
      <c r="P384" s="64">
        <f>+Tabla1[[#This Row],[STOCK  FEBRERO 2021]]-Tabla1[[#This Row],[REQUISICIONES MARZO 2021]]+Tabla1[[#This Row],[ENTRADAS MARZO 2021]]</f>
        <v>0</v>
      </c>
      <c r="Q384" s="31" t="s">
        <v>12</v>
      </c>
      <c r="R384" s="35">
        <v>25</v>
      </c>
      <c r="S384" s="36">
        <f t="shared" si="15"/>
        <v>29.5</v>
      </c>
      <c r="T384" s="100">
        <f>+Tabla1[[#This Row],[STOCK MARZO ]]*Tabla1[[#This Row],[COSTO UNITARIO SIN ITBIS]]</f>
        <v>0</v>
      </c>
    </row>
    <row r="385" spans="1:20" s="9" customFormat="1" x14ac:dyDescent="0.25">
      <c r="A385" s="96">
        <v>79</v>
      </c>
      <c r="B385" s="32">
        <v>43075</v>
      </c>
      <c r="C385" s="29" t="s">
        <v>11</v>
      </c>
      <c r="D385" s="32">
        <v>43075</v>
      </c>
      <c r="E385" s="148"/>
      <c r="F385" s="29">
        <v>1184</v>
      </c>
      <c r="G385" s="33" t="s">
        <v>339</v>
      </c>
      <c r="H385" s="64"/>
      <c r="I385" s="64"/>
      <c r="J385" s="64">
        <f>+'INVENTARIO ENERO-MARZO 2021'!$H385-'INVENTARIO ENERO-MARZO 2021'!$I385</f>
        <v>0</v>
      </c>
      <c r="K385" s="64"/>
      <c r="L385" s="64"/>
      <c r="M385" s="64"/>
      <c r="N385" s="64"/>
      <c r="O385" s="64">
        <f>+Tabla1[[#This Row],[STOCK    FISICO ENERO 2021]]-Tabla1[[#This Row],[REQUISICIONES FEBRERO 2021]]</f>
        <v>0</v>
      </c>
      <c r="P385" s="64">
        <f>+Tabla1[[#This Row],[STOCK  FEBRERO 2021]]-Tabla1[[#This Row],[REQUISICIONES MARZO 2021]]+Tabla1[[#This Row],[ENTRADAS MARZO 2021]]</f>
        <v>0</v>
      </c>
      <c r="Q385" s="31" t="s">
        <v>12</v>
      </c>
      <c r="R385" s="35">
        <v>25</v>
      </c>
      <c r="S385" s="36">
        <f t="shared" si="15"/>
        <v>29.5</v>
      </c>
      <c r="T385" s="100">
        <f>+Tabla1[[#This Row],[STOCK MARZO ]]*Tabla1[[#This Row],[COSTO UNITARIO SIN ITBIS]]</f>
        <v>0</v>
      </c>
    </row>
    <row r="386" spans="1:20" s="9" customFormat="1" x14ac:dyDescent="0.25">
      <c r="A386" s="96">
        <v>80</v>
      </c>
      <c r="B386" s="32">
        <v>44028</v>
      </c>
      <c r="C386" s="29" t="s">
        <v>11</v>
      </c>
      <c r="D386" s="32">
        <v>44028</v>
      </c>
      <c r="E386" s="148"/>
      <c r="F386" s="29">
        <v>1814</v>
      </c>
      <c r="G386" s="33" t="s">
        <v>340</v>
      </c>
      <c r="H386" s="64"/>
      <c r="I386" s="64"/>
      <c r="J386" s="64">
        <f>+'INVENTARIO ENERO-MARZO 2021'!$H386-'INVENTARIO ENERO-MARZO 2021'!$I386</f>
        <v>0</v>
      </c>
      <c r="K386" s="64"/>
      <c r="L386" s="64"/>
      <c r="M386" s="64"/>
      <c r="N386" s="64"/>
      <c r="O386" s="64">
        <f>+Tabla1[[#This Row],[STOCK    FISICO ENERO 2021]]-Tabla1[[#This Row],[REQUISICIONES FEBRERO 2021]]</f>
        <v>0</v>
      </c>
      <c r="P386" s="64">
        <f>+Tabla1[[#This Row],[STOCK  FEBRERO 2021]]-Tabla1[[#This Row],[REQUISICIONES MARZO 2021]]+Tabla1[[#This Row],[ENTRADAS MARZO 2021]]</f>
        <v>0</v>
      </c>
      <c r="Q386" s="31" t="s">
        <v>112</v>
      </c>
      <c r="R386" s="35">
        <v>260.76</v>
      </c>
      <c r="S386" s="36">
        <f t="shared" si="15"/>
        <v>307.6968</v>
      </c>
      <c r="T386" s="100">
        <f>+Tabla1[[#This Row],[STOCK MARZO ]]*Tabla1[[#This Row],[COSTO UNITARIO SIN ITBIS]]</f>
        <v>0</v>
      </c>
    </row>
    <row r="387" spans="1:20" s="9" customFormat="1" x14ac:dyDescent="0.25">
      <c r="A387" s="96">
        <v>81</v>
      </c>
      <c r="B387" s="32"/>
      <c r="C387" s="29" t="s">
        <v>11</v>
      </c>
      <c r="D387" s="32"/>
      <c r="E387" s="148"/>
      <c r="F387" s="29"/>
      <c r="G387" s="33" t="s">
        <v>342</v>
      </c>
      <c r="H387" s="64">
        <v>5</v>
      </c>
      <c r="I387" s="64"/>
      <c r="J387" s="64">
        <f>+'INVENTARIO ENERO-MARZO 2021'!$H387-'INVENTARIO ENERO-MARZO 2021'!$I387</f>
        <v>5</v>
      </c>
      <c r="K387" s="64"/>
      <c r="L387" s="64"/>
      <c r="M387" s="64"/>
      <c r="N387" s="64"/>
      <c r="O387" s="64">
        <f>+Tabla1[[#This Row],[STOCK    FISICO ENERO 2021]]-Tabla1[[#This Row],[REQUISICIONES FEBRERO 2021]]</f>
        <v>5</v>
      </c>
      <c r="P387" s="64">
        <f>+Tabla1[[#This Row],[STOCK  FEBRERO 2021]]-Tabla1[[#This Row],[REQUISICIONES MARZO 2021]]+Tabla1[[#This Row],[ENTRADAS MARZO 2021]]</f>
        <v>5</v>
      </c>
      <c r="Q387" s="31" t="s">
        <v>112</v>
      </c>
      <c r="R387" s="35">
        <v>0</v>
      </c>
      <c r="S387" s="36">
        <f t="shared" si="15"/>
        <v>0</v>
      </c>
      <c r="T387" s="100">
        <f>+Tabla1[[#This Row],[STOCK MARZO ]]*Tabla1[[#This Row],[COSTO UNITARIO SIN ITBIS]]</f>
        <v>0</v>
      </c>
    </row>
    <row r="388" spans="1:20" s="9" customFormat="1" x14ac:dyDescent="0.25">
      <c r="A388" s="96">
        <v>82</v>
      </c>
      <c r="B388" s="32">
        <v>44026</v>
      </c>
      <c r="C388" s="29" t="s">
        <v>11</v>
      </c>
      <c r="D388" s="32">
        <v>44026</v>
      </c>
      <c r="E388" s="148"/>
      <c r="F388" s="29">
        <v>1646</v>
      </c>
      <c r="G388" s="33" t="s">
        <v>341</v>
      </c>
      <c r="H388" s="64">
        <v>2</v>
      </c>
      <c r="I388" s="64"/>
      <c r="J388" s="64">
        <f>+'INVENTARIO ENERO-MARZO 2021'!$H388-'INVENTARIO ENERO-MARZO 2021'!$I388</f>
        <v>2</v>
      </c>
      <c r="K388" s="64"/>
      <c r="L388" s="64"/>
      <c r="M388" s="64"/>
      <c r="N388" s="64"/>
      <c r="O388" s="64">
        <f>+Tabla1[[#This Row],[STOCK    FISICO ENERO 2021]]-Tabla1[[#This Row],[REQUISICIONES FEBRERO 2021]]</f>
        <v>2</v>
      </c>
      <c r="P388" s="64">
        <f>+Tabla1[[#This Row],[STOCK  FEBRERO 2021]]-Tabla1[[#This Row],[REQUISICIONES MARZO 2021]]+Tabla1[[#This Row],[ENTRADAS MARZO 2021]]</f>
        <v>2</v>
      </c>
      <c r="Q388" s="31" t="s">
        <v>112</v>
      </c>
      <c r="R388" s="35">
        <v>2745.76</v>
      </c>
      <c r="S388" s="36">
        <f t="shared" si="15"/>
        <v>3239.9968000000003</v>
      </c>
      <c r="T388" s="100">
        <f>+Tabla1[[#This Row],[STOCK MARZO ]]*Tabla1[[#This Row],[COSTO UNITARIO SIN ITBIS]]</f>
        <v>5491.52</v>
      </c>
    </row>
    <row r="389" spans="1:20" s="9" customFormat="1" x14ac:dyDescent="0.25">
      <c r="A389" s="96">
        <v>83</v>
      </c>
      <c r="B389" s="32">
        <v>44026</v>
      </c>
      <c r="C389" s="29" t="s">
        <v>11</v>
      </c>
      <c r="D389" s="32">
        <v>44026</v>
      </c>
      <c r="E389" s="148"/>
      <c r="F389" s="29">
        <v>1626</v>
      </c>
      <c r="G389" s="33" t="s">
        <v>343</v>
      </c>
      <c r="H389" s="64">
        <v>80</v>
      </c>
      <c r="I389" s="64"/>
      <c r="J389" s="64">
        <f>+'INVENTARIO ENERO-MARZO 2021'!$H389-'INVENTARIO ENERO-MARZO 2021'!$I389</f>
        <v>80</v>
      </c>
      <c r="K389" s="64"/>
      <c r="L389" s="64"/>
      <c r="M389" s="64">
        <f>1+1</f>
        <v>2</v>
      </c>
      <c r="N389" s="64"/>
      <c r="O389" s="64">
        <f>+Tabla1[[#This Row],[STOCK    FISICO ENERO 2021]]-Tabla1[[#This Row],[REQUISICIONES FEBRERO 2021]]</f>
        <v>78</v>
      </c>
      <c r="P389" s="64">
        <f>+Tabla1[[#This Row],[STOCK  FEBRERO 2021]]-Tabla1[[#This Row],[REQUISICIONES MARZO 2021]]+Tabla1[[#This Row],[ENTRADAS MARZO 2021]]</f>
        <v>78</v>
      </c>
      <c r="Q389" s="31" t="s">
        <v>12</v>
      </c>
      <c r="R389" s="35">
        <v>297.86</v>
      </c>
      <c r="S389" s="36">
        <f t="shared" si="15"/>
        <v>351.47480000000002</v>
      </c>
      <c r="T389" s="100">
        <f>+Tabla1[[#This Row],[STOCK MARZO ]]*Tabla1[[#This Row],[COSTO UNITARIO SIN ITBIS]]</f>
        <v>23233.08</v>
      </c>
    </row>
    <row r="390" spans="1:20" s="9" customFormat="1" x14ac:dyDescent="0.25">
      <c r="A390" s="96">
        <v>84</v>
      </c>
      <c r="B390" s="32">
        <v>43087</v>
      </c>
      <c r="C390" s="29" t="s">
        <v>11</v>
      </c>
      <c r="D390" s="32">
        <v>43087</v>
      </c>
      <c r="E390" s="148"/>
      <c r="F390" s="29">
        <v>1239</v>
      </c>
      <c r="G390" s="33" t="s">
        <v>344</v>
      </c>
      <c r="H390" s="64">
        <v>3</v>
      </c>
      <c r="I390" s="64"/>
      <c r="J390" s="64">
        <f>+'INVENTARIO ENERO-MARZO 2021'!$H390-'INVENTARIO ENERO-MARZO 2021'!$I390</f>
        <v>3</v>
      </c>
      <c r="K390" s="64"/>
      <c r="L390" s="64"/>
      <c r="M390" s="64"/>
      <c r="N390" s="64"/>
      <c r="O390" s="64">
        <f>+Tabla1[[#This Row],[STOCK    FISICO ENERO 2021]]-Tabla1[[#This Row],[REQUISICIONES FEBRERO 2021]]</f>
        <v>3</v>
      </c>
      <c r="P390" s="64">
        <f>+Tabla1[[#This Row],[STOCK  FEBRERO 2021]]-Tabla1[[#This Row],[REQUISICIONES MARZO 2021]]+Tabla1[[#This Row],[ENTRADAS MARZO 2021]]</f>
        <v>3</v>
      </c>
      <c r="Q390" s="31" t="s">
        <v>12</v>
      </c>
      <c r="R390" s="35">
        <v>11.1</v>
      </c>
      <c r="S390" s="36">
        <f t="shared" si="15"/>
        <v>13.097999999999999</v>
      </c>
      <c r="T390" s="100">
        <f>+Tabla1[[#This Row],[STOCK MARZO ]]*Tabla1[[#This Row],[COSTO UNITARIO SIN ITBIS]]</f>
        <v>33.299999999999997</v>
      </c>
    </row>
    <row r="391" spans="1:20" s="9" customFormat="1" x14ac:dyDescent="0.25">
      <c r="A391" s="96">
        <v>85</v>
      </c>
      <c r="B391" s="32">
        <v>43087</v>
      </c>
      <c r="C391" s="29" t="s">
        <v>11</v>
      </c>
      <c r="D391" s="32">
        <v>43087</v>
      </c>
      <c r="E391" s="148"/>
      <c r="F391" s="29">
        <v>1238</v>
      </c>
      <c r="G391" s="33" t="s">
        <v>345</v>
      </c>
      <c r="H391" s="64">
        <f>28+15</f>
        <v>43</v>
      </c>
      <c r="I391" s="64">
        <v>2</v>
      </c>
      <c r="J391" s="64">
        <f>+'INVENTARIO ENERO-MARZO 2021'!$H391-'INVENTARIO ENERO-MARZO 2021'!$I391</f>
        <v>41</v>
      </c>
      <c r="K391" s="64"/>
      <c r="L391" s="64"/>
      <c r="M391" s="64">
        <f>1+2+2+1</f>
        <v>6</v>
      </c>
      <c r="N391" s="64"/>
      <c r="O391" s="64">
        <f>+Tabla1[[#This Row],[STOCK    FISICO ENERO 2021]]-Tabla1[[#This Row],[REQUISICIONES FEBRERO 2021]]</f>
        <v>35</v>
      </c>
      <c r="P391" s="64">
        <f>+Tabla1[[#This Row],[STOCK  FEBRERO 2021]]-Tabla1[[#This Row],[REQUISICIONES MARZO 2021]]+Tabla1[[#This Row],[ENTRADAS MARZO 2021]]</f>
        <v>35</v>
      </c>
      <c r="Q391" s="31" t="s">
        <v>12</v>
      </c>
      <c r="R391" s="35">
        <v>0</v>
      </c>
      <c r="S391" s="36">
        <f t="shared" si="15"/>
        <v>0</v>
      </c>
      <c r="T391" s="100">
        <f>+Tabla1[[#This Row],[STOCK MARZO ]]*Tabla1[[#This Row],[COSTO UNITARIO SIN ITBIS]]</f>
        <v>0</v>
      </c>
    </row>
    <row r="392" spans="1:20" s="9" customFormat="1" x14ac:dyDescent="0.25">
      <c r="A392" s="96">
        <v>86</v>
      </c>
      <c r="B392" s="32">
        <v>43087</v>
      </c>
      <c r="C392" s="29" t="s">
        <v>11</v>
      </c>
      <c r="D392" s="32">
        <v>43087</v>
      </c>
      <c r="E392" s="148"/>
      <c r="F392" s="29">
        <v>1241</v>
      </c>
      <c r="G392" s="33" t="s">
        <v>346</v>
      </c>
      <c r="H392" s="64">
        <v>122</v>
      </c>
      <c r="I392" s="64"/>
      <c r="J392" s="64">
        <f>+'INVENTARIO ENERO-MARZO 2021'!$H392-'INVENTARIO ENERO-MARZO 2021'!$I392</f>
        <v>122</v>
      </c>
      <c r="K392" s="64"/>
      <c r="L392" s="64"/>
      <c r="M392" s="64">
        <v>4</v>
      </c>
      <c r="N392" s="64"/>
      <c r="O392" s="64">
        <f>+Tabla1[[#This Row],[STOCK    FISICO ENERO 2021]]-Tabla1[[#This Row],[REQUISICIONES FEBRERO 2021]]</f>
        <v>118</v>
      </c>
      <c r="P392" s="64">
        <f>+Tabla1[[#This Row],[STOCK  FEBRERO 2021]]-Tabla1[[#This Row],[REQUISICIONES MARZO 2021]]+Tabla1[[#This Row],[ENTRADAS MARZO 2021]]</f>
        <v>118</v>
      </c>
      <c r="Q392" s="31" t="s">
        <v>12</v>
      </c>
      <c r="R392" s="35">
        <v>150</v>
      </c>
      <c r="S392" s="36">
        <f t="shared" si="15"/>
        <v>177</v>
      </c>
      <c r="T392" s="100">
        <f>+Tabla1[[#This Row],[STOCK MARZO ]]*Tabla1[[#This Row],[COSTO UNITARIO SIN ITBIS]]</f>
        <v>17700</v>
      </c>
    </row>
    <row r="393" spans="1:20" s="9" customFormat="1" x14ac:dyDescent="0.25">
      <c r="A393" s="96">
        <v>87</v>
      </c>
      <c r="B393" s="32">
        <v>43087</v>
      </c>
      <c r="C393" s="29" t="s">
        <v>11</v>
      </c>
      <c r="D393" s="32">
        <v>43087</v>
      </c>
      <c r="E393" s="148"/>
      <c r="F393" s="29">
        <v>1240</v>
      </c>
      <c r="G393" s="33" t="s">
        <v>347</v>
      </c>
      <c r="H393" s="64">
        <v>0</v>
      </c>
      <c r="I393" s="64"/>
      <c r="J393" s="64">
        <f>+'INVENTARIO ENERO-MARZO 2021'!$H393-'INVENTARIO ENERO-MARZO 2021'!$I393</f>
        <v>0</v>
      </c>
      <c r="K393" s="64"/>
      <c r="L393" s="64"/>
      <c r="M393" s="64"/>
      <c r="N393" s="64"/>
      <c r="O393" s="64">
        <f>+Tabla1[[#This Row],[STOCK    FISICO ENERO 2021]]-Tabla1[[#This Row],[REQUISICIONES FEBRERO 2021]]</f>
        <v>0</v>
      </c>
      <c r="P393" s="64">
        <f>+Tabla1[[#This Row],[STOCK  FEBRERO 2021]]-Tabla1[[#This Row],[REQUISICIONES MARZO 2021]]+Tabla1[[#This Row],[ENTRADAS MARZO 2021]]</f>
        <v>0</v>
      </c>
      <c r="Q393" s="31" t="s">
        <v>12</v>
      </c>
      <c r="R393" s="35">
        <v>0</v>
      </c>
      <c r="S393" s="36">
        <f t="shared" si="15"/>
        <v>0</v>
      </c>
      <c r="T393" s="100">
        <f>+Tabla1[[#This Row],[STOCK MARZO ]]*Tabla1[[#This Row],[COSTO UNITARIO SIN ITBIS]]</f>
        <v>0</v>
      </c>
    </row>
    <row r="394" spans="1:20" s="9" customFormat="1" x14ac:dyDescent="0.25">
      <c r="A394" s="96">
        <v>88</v>
      </c>
      <c r="B394" s="32">
        <v>43664</v>
      </c>
      <c r="C394" s="29" t="s">
        <v>11</v>
      </c>
      <c r="D394" s="32">
        <v>43767</v>
      </c>
      <c r="E394" s="148"/>
      <c r="F394" s="29">
        <v>1506</v>
      </c>
      <c r="G394" s="33" t="s">
        <v>348</v>
      </c>
      <c r="H394" s="64">
        <v>0</v>
      </c>
      <c r="I394" s="64"/>
      <c r="J394" s="64">
        <f>+'INVENTARIO ENERO-MARZO 2021'!$H394-'INVENTARIO ENERO-MARZO 2021'!$I394</f>
        <v>0</v>
      </c>
      <c r="K394" s="64"/>
      <c r="L394" s="64"/>
      <c r="M394" s="64"/>
      <c r="N394" s="64"/>
      <c r="O394" s="64">
        <f>+Tabla1[[#This Row],[STOCK    FISICO ENERO 2021]]-Tabla1[[#This Row],[REQUISICIONES FEBRERO 2021]]</f>
        <v>0</v>
      </c>
      <c r="P394" s="64">
        <f>+Tabla1[[#This Row],[STOCK  FEBRERO 2021]]-Tabla1[[#This Row],[REQUISICIONES MARZO 2021]]+Tabla1[[#This Row],[ENTRADAS MARZO 2021]]</f>
        <v>0</v>
      </c>
      <c r="Q394" s="31" t="s">
        <v>12</v>
      </c>
      <c r="R394" s="35">
        <v>150</v>
      </c>
      <c r="S394" s="36">
        <f t="shared" si="15"/>
        <v>177</v>
      </c>
      <c r="T394" s="100">
        <f>+Tabla1[[#This Row],[STOCK MARZO ]]*Tabla1[[#This Row],[COSTO UNITARIO SIN ITBIS]]</f>
        <v>0</v>
      </c>
    </row>
    <row r="395" spans="1:20" s="9" customFormat="1" x14ac:dyDescent="0.25">
      <c r="A395" s="96">
        <v>89</v>
      </c>
      <c r="B395" s="32">
        <v>44110</v>
      </c>
      <c r="C395" s="29" t="s">
        <v>11</v>
      </c>
      <c r="D395" s="32">
        <v>44110</v>
      </c>
      <c r="E395" s="148"/>
      <c r="F395" s="29" t="s">
        <v>23</v>
      </c>
      <c r="G395" s="33" t="s">
        <v>349</v>
      </c>
      <c r="H395" s="64">
        <v>25</v>
      </c>
      <c r="I395" s="64">
        <v>8</v>
      </c>
      <c r="J395" s="64">
        <f>+'INVENTARIO ENERO-MARZO 2021'!$H395-'INVENTARIO ENERO-MARZO 2021'!$I395</f>
        <v>17</v>
      </c>
      <c r="K395" s="64"/>
      <c r="L395" s="64"/>
      <c r="M395" s="64"/>
      <c r="N395" s="64">
        <v>3</v>
      </c>
      <c r="O395" s="64">
        <f>+Tabla1[[#This Row],[STOCK    FISICO ENERO 2021]]-Tabla1[[#This Row],[REQUISICIONES FEBRERO 2021]]</f>
        <v>17</v>
      </c>
      <c r="P395" s="64">
        <f>+Tabla1[[#This Row],[STOCK  FEBRERO 2021]]-Tabla1[[#This Row],[REQUISICIONES MARZO 2021]]+Tabla1[[#This Row],[ENTRADAS MARZO 2021]]</f>
        <v>14</v>
      </c>
      <c r="Q395" s="31" t="s">
        <v>12</v>
      </c>
      <c r="R395" s="35">
        <v>50.98</v>
      </c>
      <c r="S395" s="36">
        <f t="shared" si="15"/>
        <v>60.156399999999998</v>
      </c>
      <c r="T395" s="100">
        <f>+Tabla1[[#This Row],[STOCK MARZO ]]*Tabla1[[#This Row],[COSTO UNITARIO SIN ITBIS]]</f>
        <v>713.71999999999991</v>
      </c>
    </row>
    <row r="396" spans="1:20" s="9" customFormat="1" x14ac:dyDescent="0.25">
      <c r="A396" s="96">
        <v>90</v>
      </c>
      <c r="B396" s="32">
        <v>44026</v>
      </c>
      <c r="C396" s="29" t="s">
        <v>11</v>
      </c>
      <c r="D396" s="32">
        <v>44026</v>
      </c>
      <c r="E396" s="148"/>
      <c r="F396" s="29">
        <v>1604</v>
      </c>
      <c r="G396" s="33" t="s">
        <v>350</v>
      </c>
      <c r="H396" s="64">
        <v>75</v>
      </c>
      <c r="I396" s="64"/>
      <c r="J396" s="64">
        <f>+'INVENTARIO ENERO-MARZO 2021'!$H396-'INVENTARIO ENERO-MARZO 2021'!$I396</f>
        <v>75</v>
      </c>
      <c r="K396" s="64"/>
      <c r="L396" s="64"/>
      <c r="M396" s="64"/>
      <c r="N396" s="64">
        <v>2</v>
      </c>
      <c r="O396" s="64">
        <f>+Tabla1[[#This Row],[STOCK    FISICO ENERO 2021]]-Tabla1[[#This Row],[REQUISICIONES FEBRERO 2021]]</f>
        <v>75</v>
      </c>
      <c r="P396" s="64">
        <f>+Tabla1[[#This Row],[STOCK  FEBRERO 2021]]-Tabla1[[#This Row],[REQUISICIONES MARZO 2021]]+Tabla1[[#This Row],[ENTRADAS MARZO 2021]]</f>
        <v>73</v>
      </c>
      <c r="Q396" s="31" t="s">
        <v>12</v>
      </c>
      <c r="R396" s="35">
        <v>1080</v>
      </c>
      <c r="S396" s="36">
        <f t="shared" si="15"/>
        <v>1274.4000000000001</v>
      </c>
      <c r="T396" s="100">
        <f>+Tabla1[[#This Row],[STOCK MARZO ]]*Tabla1[[#This Row],[COSTO UNITARIO SIN ITBIS]]</f>
        <v>78840</v>
      </c>
    </row>
    <row r="397" spans="1:20" s="9" customFormat="1" ht="14.25" customHeight="1" x14ac:dyDescent="0.25">
      <c r="A397" s="96">
        <v>91</v>
      </c>
      <c r="B397" s="32"/>
      <c r="C397" s="29" t="s">
        <v>11</v>
      </c>
      <c r="D397" s="32"/>
      <c r="E397" s="148"/>
      <c r="F397" s="29" t="s">
        <v>23</v>
      </c>
      <c r="G397" s="33" t="s">
        <v>351</v>
      </c>
      <c r="H397" s="64">
        <v>28</v>
      </c>
      <c r="I397" s="64"/>
      <c r="J397" s="64">
        <f>+'INVENTARIO ENERO-MARZO 2021'!$H397-'INVENTARIO ENERO-MARZO 2021'!$I397</f>
        <v>28</v>
      </c>
      <c r="K397" s="64"/>
      <c r="L397" s="64"/>
      <c r="M397" s="64"/>
      <c r="N397" s="64"/>
      <c r="O397" s="64">
        <f>+Tabla1[[#This Row],[STOCK    FISICO ENERO 2021]]-Tabla1[[#This Row],[REQUISICIONES FEBRERO 2021]]</f>
        <v>28</v>
      </c>
      <c r="P397" s="64">
        <f>+Tabla1[[#This Row],[STOCK  FEBRERO 2021]]-Tabla1[[#This Row],[REQUISICIONES MARZO 2021]]+Tabla1[[#This Row],[ENTRADAS MARZO 2021]]</f>
        <v>28</v>
      </c>
      <c r="Q397" s="31" t="s">
        <v>12</v>
      </c>
      <c r="R397" s="35">
        <v>0</v>
      </c>
      <c r="S397" s="36">
        <f t="shared" si="15"/>
        <v>0</v>
      </c>
      <c r="T397" s="100">
        <f>+Tabla1[[#This Row],[STOCK MARZO ]]*Tabla1[[#This Row],[COSTO UNITARIO SIN ITBIS]]</f>
        <v>0</v>
      </c>
    </row>
    <row r="398" spans="1:20" s="9" customFormat="1" x14ac:dyDescent="0.25">
      <c r="A398" s="96">
        <v>92</v>
      </c>
      <c r="B398" s="32">
        <v>44026</v>
      </c>
      <c r="C398" s="29" t="s">
        <v>11</v>
      </c>
      <c r="D398" s="32">
        <v>44026</v>
      </c>
      <c r="E398" s="148"/>
      <c r="F398" s="29">
        <v>1644</v>
      </c>
      <c r="G398" s="33" t="s">
        <v>352</v>
      </c>
      <c r="H398" s="64">
        <v>0</v>
      </c>
      <c r="I398" s="64"/>
      <c r="J398" s="64">
        <f>+'INVENTARIO ENERO-MARZO 2021'!$H398-'INVENTARIO ENERO-MARZO 2021'!$I398</f>
        <v>0</v>
      </c>
      <c r="K398" s="64"/>
      <c r="L398" s="64"/>
      <c r="M398" s="64"/>
      <c r="N398" s="64"/>
      <c r="O398" s="64">
        <f>+Tabla1[[#This Row],[STOCK    FISICO ENERO 2021]]-Tabla1[[#This Row],[REQUISICIONES FEBRERO 2021]]</f>
        <v>0</v>
      </c>
      <c r="P398" s="64">
        <f>+Tabla1[[#This Row],[STOCK  FEBRERO 2021]]-Tabla1[[#This Row],[REQUISICIONES MARZO 2021]]+Tabla1[[#This Row],[ENTRADAS MARZO 2021]]</f>
        <v>0</v>
      </c>
      <c r="Q398" s="31" t="s">
        <v>112</v>
      </c>
      <c r="R398" s="35">
        <v>4638</v>
      </c>
      <c r="S398" s="36">
        <f t="shared" si="15"/>
        <v>5472.84</v>
      </c>
      <c r="T398" s="100">
        <f>+Tabla1[[#This Row],[STOCK MARZO ]]*Tabla1[[#This Row],[COSTO UNITARIO SIN ITBIS]]</f>
        <v>0</v>
      </c>
    </row>
    <row r="399" spans="1:20" s="12" customFormat="1" ht="15.75" thickBot="1" x14ac:dyDescent="0.3">
      <c r="A399" s="57"/>
      <c r="B399" s="57"/>
      <c r="C399" s="57"/>
      <c r="D399" s="57"/>
      <c r="E399" s="152"/>
      <c r="F399" s="57"/>
      <c r="G399" s="57"/>
      <c r="H399" s="58"/>
      <c r="I399" s="58"/>
      <c r="J399" s="58">
        <f>+'INVENTARIO ENERO-MARZO 2021'!$H399-'INVENTARIO ENERO-MARZO 2021'!$I399</f>
        <v>0</v>
      </c>
      <c r="K399" s="58"/>
      <c r="L399" s="58"/>
      <c r="M399" s="58"/>
      <c r="N399" s="58"/>
      <c r="O399" s="58"/>
      <c r="P399" s="58"/>
      <c r="Q399" s="57"/>
      <c r="R399" s="59"/>
      <c r="S399" s="59" t="s">
        <v>766</v>
      </c>
      <c r="T399" s="102">
        <f>+SUM(T307:T398)</f>
        <v>572888.57875999995</v>
      </c>
    </row>
    <row r="400" spans="1:20" s="9" customFormat="1" ht="15.75" thickTop="1" x14ac:dyDescent="0.25">
      <c r="A400" s="62" t="s">
        <v>353</v>
      </c>
      <c r="B400" s="62"/>
      <c r="C400" s="62"/>
      <c r="D400" s="62"/>
      <c r="E400" s="103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103"/>
    </row>
    <row r="401" spans="1:20" s="9" customFormat="1" x14ac:dyDescent="0.25">
      <c r="A401" s="97">
        <v>1</v>
      </c>
      <c r="B401" s="76">
        <v>44168</v>
      </c>
      <c r="C401" s="29" t="s">
        <v>11</v>
      </c>
      <c r="D401" s="76">
        <v>44151</v>
      </c>
      <c r="E401" s="156"/>
      <c r="F401" s="29">
        <v>1004</v>
      </c>
      <c r="G401" s="33" t="s">
        <v>354</v>
      </c>
      <c r="H401" s="64">
        <v>15</v>
      </c>
      <c r="I401" s="64"/>
      <c r="J401" s="64">
        <f>+'INVENTARIO ENERO-MARZO 2021'!$H401-'INVENTARIO ENERO-MARZO 2021'!$I401</f>
        <v>15</v>
      </c>
      <c r="K401" s="64"/>
      <c r="L401" s="64"/>
      <c r="M401" s="64"/>
      <c r="N401" s="64"/>
      <c r="O401" s="64">
        <f>+Tabla1[[#This Row],[STOCK    FISICO ENERO 2021]]-Tabla1[[#This Row],[REQUISICIONES FEBRERO 2021]]</f>
        <v>15</v>
      </c>
      <c r="P401" s="64">
        <f>+Tabla1[[#This Row],[STOCK  FEBRERO 2021]]-Tabla1[[#This Row],[REQUISICIONES MARZO 2021]]+Tabla1[[#This Row],[ENTRADAS MARZO 2021]]</f>
        <v>15</v>
      </c>
      <c r="Q401" s="31" t="s">
        <v>12</v>
      </c>
      <c r="R401" s="35">
        <v>9.25</v>
      </c>
      <c r="S401" s="36">
        <f t="shared" ref="S401:S432" si="16">R401*0.18+R401</f>
        <v>10.914999999999999</v>
      </c>
      <c r="T401" s="100">
        <f>Tabla1[[#This Row],[STOCK MARZO ]]*Tabla1[[#This Row],[COSTO UNITARIO SIN ITBIS]]</f>
        <v>138.75</v>
      </c>
    </row>
    <row r="402" spans="1:20" s="11" customFormat="1" x14ac:dyDescent="0.25">
      <c r="A402" s="97">
        <v>2</v>
      </c>
      <c r="B402" s="76">
        <v>44168</v>
      </c>
      <c r="C402" s="29" t="s">
        <v>11</v>
      </c>
      <c r="D402" s="76">
        <v>44153</v>
      </c>
      <c r="E402" s="156"/>
      <c r="F402" s="29" t="s">
        <v>23</v>
      </c>
      <c r="G402" s="33" t="s">
        <v>355</v>
      </c>
      <c r="H402" s="64">
        <v>4</v>
      </c>
      <c r="I402" s="64"/>
      <c r="J402" s="64">
        <f>+'INVENTARIO ENERO-MARZO 2021'!$H402-'INVENTARIO ENERO-MARZO 2021'!$I402</f>
        <v>4</v>
      </c>
      <c r="K402" s="64"/>
      <c r="L402" s="64"/>
      <c r="M402" s="64"/>
      <c r="N402" s="64"/>
      <c r="O402" s="64">
        <f>+Tabla1[[#This Row],[STOCK    FISICO ENERO 2021]]-Tabla1[[#This Row],[REQUISICIONES FEBRERO 2021]]</f>
        <v>4</v>
      </c>
      <c r="P402" s="64">
        <f>+Tabla1[[#This Row],[STOCK  FEBRERO 2021]]-Tabla1[[#This Row],[REQUISICIONES MARZO 2021]]+Tabla1[[#This Row],[ENTRADAS MARZO 2021]]</f>
        <v>4</v>
      </c>
      <c r="Q402" s="31" t="s">
        <v>12</v>
      </c>
      <c r="R402" s="35">
        <v>0</v>
      </c>
      <c r="S402" s="36">
        <f t="shared" si="16"/>
        <v>0</v>
      </c>
      <c r="T402" s="100">
        <f>Tabla1[[#This Row],[STOCK MARZO ]]*Tabla1[[#This Row],[COSTO UNITARIO SIN ITBIS]]</f>
        <v>0</v>
      </c>
    </row>
    <row r="403" spans="1:20" s="9" customFormat="1" x14ac:dyDescent="0.25">
      <c r="A403" s="97">
        <v>3</v>
      </c>
      <c r="B403" s="76">
        <v>44168</v>
      </c>
      <c r="C403" s="29" t="s">
        <v>11</v>
      </c>
      <c r="D403" s="76">
        <v>44153</v>
      </c>
      <c r="E403" s="156"/>
      <c r="F403" s="29">
        <v>1007</v>
      </c>
      <c r="G403" s="33" t="s">
        <v>356</v>
      </c>
      <c r="H403" s="64">
        <v>2</v>
      </c>
      <c r="I403" s="64"/>
      <c r="J403" s="64">
        <f>+'INVENTARIO ENERO-MARZO 2021'!$H403-'INVENTARIO ENERO-MARZO 2021'!$I403</f>
        <v>2</v>
      </c>
      <c r="K403" s="64"/>
      <c r="L403" s="64"/>
      <c r="M403" s="64"/>
      <c r="N403" s="64"/>
      <c r="O403" s="64">
        <f>+Tabla1[[#This Row],[STOCK    FISICO ENERO 2021]]-Tabla1[[#This Row],[REQUISICIONES FEBRERO 2021]]</f>
        <v>2</v>
      </c>
      <c r="P403" s="64">
        <f>+Tabla1[[#This Row],[STOCK  FEBRERO 2021]]-Tabla1[[#This Row],[REQUISICIONES MARZO 2021]]+Tabla1[[#This Row],[ENTRADAS MARZO 2021]]</f>
        <v>2</v>
      </c>
      <c r="Q403" s="31" t="s">
        <v>12</v>
      </c>
      <c r="R403" s="35">
        <v>26.22</v>
      </c>
      <c r="S403" s="36">
        <f t="shared" si="16"/>
        <v>30.939599999999999</v>
      </c>
      <c r="T403" s="100">
        <f>Tabla1[[#This Row],[STOCK MARZO ]]*Tabla1[[#This Row],[COSTO UNITARIO SIN ITBIS]]</f>
        <v>52.44</v>
      </c>
    </row>
    <row r="404" spans="1:20" s="9" customFormat="1" ht="15.75" customHeight="1" x14ac:dyDescent="0.25">
      <c r="A404" s="97">
        <v>4</v>
      </c>
      <c r="B404" s="76">
        <v>44168</v>
      </c>
      <c r="C404" s="29" t="s">
        <v>11</v>
      </c>
      <c r="D404" s="76">
        <v>44154</v>
      </c>
      <c r="E404" s="156"/>
      <c r="F404" s="14">
        <v>1653</v>
      </c>
      <c r="G404" s="77" t="s">
        <v>357</v>
      </c>
      <c r="H404" s="74">
        <v>40</v>
      </c>
      <c r="I404" s="74"/>
      <c r="J404" s="74">
        <f>+'INVENTARIO ENERO-MARZO 2021'!$H404-'INVENTARIO ENERO-MARZO 2021'!$I404</f>
        <v>40</v>
      </c>
      <c r="K404" s="74"/>
      <c r="L404" s="74"/>
      <c r="M404" s="74"/>
      <c r="N404" s="74"/>
      <c r="O404" s="74">
        <f>+Tabla1[[#This Row],[STOCK    FISICO ENERO 2021]]-Tabla1[[#This Row],[REQUISICIONES FEBRERO 2021]]</f>
        <v>40</v>
      </c>
      <c r="P404" s="74">
        <f>+Tabla1[[#This Row],[STOCK  FEBRERO 2021]]-Tabla1[[#This Row],[REQUISICIONES MARZO 2021]]+Tabla1[[#This Row],[ENTRADAS MARZO 2021]]</f>
        <v>40</v>
      </c>
      <c r="Q404" s="75" t="s">
        <v>12</v>
      </c>
      <c r="R404" s="78">
        <v>13.22</v>
      </c>
      <c r="S404" s="36">
        <f t="shared" si="16"/>
        <v>15.599600000000001</v>
      </c>
      <c r="T404" s="100">
        <f>Tabla1[[#This Row],[STOCK MARZO ]]*Tabla1[[#This Row],[COSTO UNITARIO SIN ITBIS]]</f>
        <v>528.80000000000007</v>
      </c>
    </row>
    <row r="405" spans="1:20" s="9" customFormat="1" ht="15.75" customHeight="1" x14ac:dyDescent="0.25">
      <c r="A405" s="97">
        <v>5</v>
      </c>
      <c r="B405" s="76">
        <v>44168</v>
      </c>
      <c r="C405" s="29" t="s">
        <v>11</v>
      </c>
      <c r="D405" s="76">
        <v>44154</v>
      </c>
      <c r="E405" s="156"/>
      <c r="F405" s="14">
        <v>1651</v>
      </c>
      <c r="G405" s="77" t="s">
        <v>358</v>
      </c>
      <c r="H405" s="74">
        <v>53</v>
      </c>
      <c r="I405" s="74"/>
      <c r="J405" s="74">
        <f>+'INVENTARIO ENERO-MARZO 2021'!$H405-'INVENTARIO ENERO-MARZO 2021'!$I405</f>
        <v>53</v>
      </c>
      <c r="K405" s="74"/>
      <c r="L405" s="74"/>
      <c r="M405" s="74"/>
      <c r="N405" s="74">
        <v>1</v>
      </c>
      <c r="O405" s="74">
        <f>+Tabla1[[#This Row],[STOCK    FISICO ENERO 2021]]-Tabla1[[#This Row],[REQUISICIONES FEBRERO 2021]]</f>
        <v>53</v>
      </c>
      <c r="P405" s="74">
        <f>+Tabla1[[#This Row],[STOCK  FEBRERO 2021]]-Tabla1[[#This Row],[REQUISICIONES MARZO 2021]]+Tabla1[[#This Row],[ENTRADAS MARZO 2021]]</f>
        <v>52</v>
      </c>
      <c r="Q405" s="75" t="s">
        <v>112</v>
      </c>
      <c r="R405" s="78">
        <v>5.48</v>
      </c>
      <c r="S405" s="36">
        <f t="shared" si="16"/>
        <v>6.4664000000000001</v>
      </c>
      <c r="T405" s="100">
        <f>Tabla1[[#This Row],[STOCK MARZO ]]*Tabla1[[#This Row],[COSTO UNITARIO SIN ITBIS]]</f>
        <v>284.96000000000004</v>
      </c>
    </row>
    <row r="406" spans="1:20" s="9" customFormat="1" ht="15.75" customHeight="1" x14ac:dyDescent="0.25">
      <c r="A406" s="97">
        <v>6</v>
      </c>
      <c r="B406" s="76">
        <v>44168</v>
      </c>
      <c r="C406" s="29" t="s">
        <v>11</v>
      </c>
      <c r="D406" s="76">
        <v>44154</v>
      </c>
      <c r="E406" s="156"/>
      <c r="F406" s="29">
        <v>1652</v>
      </c>
      <c r="G406" s="33" t="s">
        <v>359</v>
      </c>
      <c r="H406" s="64">
        <f>51+1</f>
        <v>52</v>
      </c>
      <c r="I406" s="64"/>
      <c r="J406" s="64">
        <f>+'INVENTARIO ENERO-MARZO 2021'!$H406-'INVENTARIO ENERO-MARZO 2021'!$I406</f>
        <v>52</v>
      </c>
      <c r="K406" s="64"/>
      <c r="L406" s="64"/>
      <c r="M406" s="64"/>
      <c r="N406" s="64"/>
      <c r="O406" s="64">
        <f>+Tabla1[[#This Row],[STOCK    FISICO ENERO 2021]]-Tabla1[[#This Row],[REQUISICIONES FEBRERO 2021]]</f>
        <v>52</v>
      </c>
      <c r="P406" s="64">
        <f>+Tabla1[[#This Row],[STOCK  FEBRERO 2021]]-Tabla1[[#This Row],[REQUISICIONES MARZO 2021]]+Tabla1[[#This Row],[ENTRADAS MARZO 2021]]</f>
        <v>52</v>
      </c>
      <c r="Q406" s="31" t="s">
        <v>12</v>
      </c>
      <c r="R406" s="35">
        <v>4.9000000000000004</v>
      </c>
      <c r="S406" s="36">
        <f t="shared" si="16"/>
        <v>5.782</v>
      </c>
      <c r="T406" s="100">
        <f>Tabla1[[#This Row],[STOCK MARZO ]]*Tabla1[[#This Row],[COSTO UNITARIO SIN ITBIS]]</f>
        <v>254.8</v>
      </c>
    </row>
    <row r="407" spans="1:20" s="9" customFormat="1" ht="15.75" customHeight="1" x14ac:dyDescent="0.25">
      <c r="A407" s="97">
        <v>7</v>
      </c>
      <c r="B407" s="76">
        <v>44168</v>
      </c>
      <c r="C407" s="29" t="s">
        <v>11</v>
      </c>
      <c r="D407" s="76">
        <v>44154</v>
      </c>
      <c r="E407" s="156"/>
      <c r="F407" s="14"/>
      <c r="G407" s="77" t="s">
        <v>360</v>
      </c>
      <c r="H407" s="74">
        <v>2</v>
      </c>
      <c r="I407" s="74"/>
      <c r="J407" s="74">
        <f>+'INVENTARIO ENERO-MARZO 2021'!$H407-'INVENTARIO ENERO-MARZO 2021'!$I407</f>
        <v>2</v>
      </c>
      <c r="K407" s="74"/>
      <c r="L407" s="74"/>
      <c r="M407" s="74"/>
      <c r="N407" s="74"/>
      <c r="O407" s="74">
        <f>+Tabla1[[#This Row],[STOCK    FISICO ENERO 2021]]-Tabla1[[#This Row],[REQUISICIONES FEBRERO 2021]]</f>
        <v>2</v>
      </c>
      <c r="P407" s="74">
        <f>+Tabla1[[#This Row],[STOCK  FEBRERO 2021]]-Tabla1[[#This Row],[REQUISICIONES MARZO 2021]]+Tabla1[[#This Row],[ENTRADAS MARZO 2021]]</f>
        <v>2</v>
      </c>
      <c r="Q407" s="31" t="s">
        <v>12</v>
      </c>
      <c r="R407" s="78">
        <v>236</v>
      </c>
      <c r="S407" s="36">
        <f t="shared" si="16"/>
        <v>278.48</v>
      </c>
      <c r="T407" s="100">
        <f>Tabla1[[#This Row],[STOCK MARZO ]]*Tabla1[[#This Row],[COSTO UNITARIO SIN ITBIS]]</f>
        <v>472</v>
      </c>
    </row>
    <row r="408" spans="1:20" s="9" customFormat="1" ht="15.75" customHeight="1" x14ac:dyDescent="0.25">
      <c r="A408" s="97">
        <v>8</v>
      </c>
      <c r="B408" s="76">
        <v>44168</v>
      </c>
      <c r="C408" s="29" t="s">
        <v>11</v>
      </c>
      <c r="D408" s="76">
        <v>44155</v>
      </c>
      <c r="E408" s="156"/>
      <c r="F408" s="14">
        <v>1012</v>
      </c>
      <c r="G408" s="77" t="s">
        <v>361</v>
      </c>
      <c r="H408" s="74"/>
      <c r="I408" s="74"/>
      <c r="J408" s="74">
        <f>+'INVENTARIO ENERO-MARZO 2021'!$H408-'INVENTARIO ENERO-MARZO 2021'!$I408</f>
        <v>0</v>
      </c>
      <c r="K408" s="74"/>
      <c r="L408" s="74"/>
      <c r="M408" s="74"/>
      <c r="N408" s="74"/>
      <c r="O408" s="74">
        <f>+Tabla1[[#This Row],[STOCK    FISICO ENERO 2021]]-Tabla1[[#This Row],[REQUISICIONES FEBRERO 2021]]</f>
        <v>0</v>
      </c>
      <c r="P408" s="74">
        <f>+Tabla1[[#This Row],[STOCK  FEBRERO 2021]]-Tabla1[[#This Row],[REQUISICIONES MARZO 2021]]+Tabla1[[#This Row],[ENTRADAS MARZO 2021]]</f>
        <v>0</v>
      </c>
      <c r="Q408" s="75" t="s">
        <v>12</v>
      </c>
      <c r="R408" s="78">
        <v>8</v>
      </c>
      <c r="S408" s="36">
        <f t="shared" si="16"/>
        <v>9.44</v>
      </c>
      <c r="T408" s="100">
        <f>Tabla1[[#This Row],[STOCK MARZO ]]*Tabla1[[#This Row],[COSTO UNITARIO SIN ITBIS]]</f>
        <v>0</v>
      </c>
    </row>
    <row r="409" spans="1:20" s="9" customFormat="1" ht="15.75" customHeight="1" x14ac:dyDescent="0.25">
      <c r="A409" s="97">
        <v>9</v>
      </c>
      <c r="B409" s="76">
        <v>44168</v>
      </c>
      <c r="C409" s="29" t="s">
        <v>11</v>
      </c>
      <c r="D409" s="76">
        <v>44155</v>
      </c>
      <c r="E409" s="156"/>
      <c r="F409" s="14">
        <v>1010</v>
      </c>
      <c r="G409" s="77" t="s">
        <v>362</v>
      </c>
      <c r="H409" s="74">
        <v>6</v>
      </c>
      <c r="I409" s="74"/>
      <c r="J409" s="74">
        <f>+'INVENTARIO ENERO-MARZO 2021'!$H409-'INVENTARIO ENERO-MARZO 2021'!$I409</f>
        <v>6</v>
      </c>
      <c r="K409" s="74"/>
      <c r="L409" s="74"/>
      <c r="M409" s="74"/>
      <c r="N409" s="74"/>
      <c r="O409" s="74">
        <f>+Tabla1[[#This Row],[STOCK    FISICO ENERO 2021]]-Tabla1[[#This Row],[REQUISICIONES FEBRERO 2021]]</f>
        <v>6</v>
      </c>
      <c r="P409" s="74">
        <f>+Tabla1[[#This Row],[STOCK  FEBRERO 2021]]-Tabla1[[#This Row],[REQUISICIONES MARZO 2021]]+Tabla1[[#This Row],[ENTRADAS MARZO 2021]]</f>
        <v>6</v>
      </c>
      <c r="Q409" s="75" t="s">
        <v>12</v>
      </c>
      <c r="R409" s="78">
        <v>8</v>
      </c>
      <c r="S409" s="36">
        <f t="shared" si="16"/>
        <v>9.44</v>
      </c>
      <c r="T409" s="100">
        <f>Tabla1[[#This Row],[STOCK MARZO ]]*Tabla1[[#This Row],[COSTO UNITARIO SIN ITBIS]]</f>
        <v>48</v>
      </c>
    </row>
    <row r="410" spans="1:20" s="9" customFormat="1" ht="15.75" customHeight="1" x14ac:dyDescent="0.25">
      <c r="A410" s="97">
        <v>10</v>
      </c>
      <c r="B410" s="76">
        <v>44167</v>
      </c>
      <c r="C410" s="29" t="s">
        <v>11</v>
      </c>
      <c r="D410" s="76">
        <v>44161</v>
      </c>
      <c r="E410" s="156"/>
      <c r="F410" s="29">
        <v>1290</v>
      </c>
      <c r="G410" s="33" t="s">
        <v>363</v>
      </c>
      <c r="H410" s="64"/>
      <c r="I410" s="64"/>
      <c r="J410" s="64">
        <f>+'INVENTARIO ENERO-MARZO 2021'!$H410-'INVENTARIO ENERO-MARZO 2021'!$I410</f>
        <v>0</v>
      </c>
      <c r="K410" s="64"/>
      <c r="L410" s="64"/>
      <c r="M410" s="64"/>
      <c r="N410" s="64"/>
      <c r="O410" s="64">
        <f>+Tabla1[[#This Row],[STOCK    FISICO ENERO 2021]]-Tabla1[[#This Row],[REQUISICIONES FEBRERO 2021]]</f>
        <v>0</v>
      </c>
      <c r="P410" s="64">
        <f>+Tabla1[[#This Row],[STOCK  FEBRERO 2021]]-Tabla1[[#This Row],[REQUISICIONES MARZO 2021]]+Tabla1[[#This Row],[ENTRADAS MARZO 2021]]</f>
        <v>0</v>
      </c>
      <c r="Q410" s="31" t="s">
        <v>12</v>
      </c>
      <c r="R410" s="35">
        <v>0</v>
      </c>
      <c r="S410" s="36">
        <f t="shared" si="16"/>
        <v>0</v>
      </c>
      <c r="T410" s="100">
        <f>Tabla1[[#This Row],[STOCK MARZO ]]*Tabla1[[#This Row],[COSTO UNITARIO SIN ITBIS]]</f>
        <v>0</v>
      </c>
    </row>
    <row r="411" spans="1:20" s="9" customFormat="1" ht="15.75" customHeight="1" x14ac:dyDescent="0.25">
      <c r="A411" s="97">
        <v>11</v>
      </c>
      <c r="B411" s="32">
        <v>44168</v>
      </c>
      <c r="C411" s="29" t="s">
        <v>11</v>
      </c>
      <c r="D411" s="32">
        <v>44152</v>
      </c>
      <c r="E411" s="148"/>
      <c r="F411" s="29">
        <v>1649</v>
      </c>
      <c r="G411" s="33" t="s">
        <v>364</v>
      </c>
      <c r="H411" s="64">
        <v>40</v>
      </c>
      <c r="I411" s="64"/>
      <c r="J411" s="64">
        <f>+'INVENTARIO ENERO-MARZO 2021'!$H411-'INVENTARIO ENERO-MARZO 2021'!$I411</f>
        <v>40</v>
      </c>
      <c r="K411" s="64"/>
      <c r="L411" s="64"/>
      <c r="M411" s="64"/>
      <c r="N411" s="64"/>
      <c r="O411" s="64">
        <f>+Tabla1[[#This Row],[STOCK    FISICO ENERO 2021]]-Tabla1[[#This Row],[REQUISICIONES FEBRERO 2021]]</f>
        <v>40</v>
      </c>
      <c r="P411" s="64">
        <f>+Tabla1[[#This Row],[STOCK  FEBRERO 2021]]-Tabla1[[#This Row],[REQUISICIONES MARZO 2021]]+Tabla1[[#This Row],[ENTRADAS MARZO 2021]]</f>
        <v>40</v>
      </c>
      <c r="Q411" s="31" t="s">
        <v>112</v>
      </c>
      <c r="R411" s="35">
        <v>9.5</v>
      </c>
      <c r="S411" s="36">
        <f t="shared" si="16"/>
        <v>11.21</v>
      </c>
      <c r="T411" s="100">
        <f>Tabla1[[#This Row],[STOCK MARZO ]]*Tabla1[[#This Row],[COSTO UNITARIO SIN ITBIS]]</f>
        <v>380</v>
      </c>
    </row>
    <row r="412" spans="1:20" s="9" customFormat="1" ht="15.75" customHeight="1" x14ac:dyDescent="0.25">
      <c r="A412" s="97">
        <v>12</v>
      </c>
      <c r="B412" s="32">
        <v>42780</v>
      </c>
      <c r="C412" s="29" t="s">
        <v>11</v>
      </c>
      <c r="D412" s="32">
        <v>42780</v>
      </c>
      <c r="E412" s="148"/>
      <c r="F412" s="14">
        <v>1647</v>
      </c>
      <c r="G412" s="77" t="s">
        <v>365</v>
      </c>
      <c r="H412" s="74">
        <v>49</v>
      </c>
      <c r="I412" s="74"/>
      <c r="J412" s="74">
        <f>+'INVENTARIO ENERO-MARZO 2021'!$H412-'INVENTARIO ENERO-MARZO 2021'!$I412</f>
        <v>49</v>
      </c>
      <c r="K412" s="74"/>
      <c r="L412" s="74"/>
      <c r="M412" s="74"/>
      <c r="N412" s="74"/>
      <c r="O412" s="74">
        <f>+Tabla1[[#This Row],[STOCK    FISICO ENERO 2021]]-Tabla1[[#This Row],[REQUISICIONES FEBRERO 2021]]</f>
        <v>49</v>
      </c>
      <c r="P412" s="74">
        <f>+Tabla1[[#This Row],[STOCK  FEBRERO 2021]]-Tabla1[[#This Row],[REQUISICIONES MARZO 2021]]+Tabla1[[#This Row],[ENTRADAS MARZO 2021]]</f>
        <v>49</v>
      </c>
      <c r="Q412" s="75" t="s">
        <v>112</v>
      </c>
      <c r="R412" s="78">
        <v>4.5199999999999996</v>
      </c>
      <c r="S412" s="36">
        <f t="shared" si="16"/>
        <v>5.3335999999999997</v>
      </c>
      <c r="T412" s="100">
        <f>Tabla1[[#This Row],[STOCK MARZO ]]*Tabla1[[#This Row],[COSTO UNITARIO SIN ITBIS]]</f>
        <v>221.48</v>
      </c>
    </row>
    <row r="413" spans="1:20" s="9" customFormat="1" ht="15.75" customHeight="1" x14ac:dyDescent="0.25">
      <c r="A413" s="97">
        <v>13</v>
      </c>
      <c r="B413" s="76">
        <v>42780</v>
      </c>
      <c r="C413" s="14" t="s">
        <v>11</v>
      </c>
      <c r="D413" s="76">
        <v>42780</v>
      </c>
      <c r="E413" s="156"/>
      <c r="F413" s="29">
        <v>1650</v>
      </c>
      <c r="G413" s="33" t="s">
        <v>366</v>
      </c>
      <c r="H413" s="64">
        <v>40</v>
      </c>
      <c r="I413" s="64"/>
      <c r="J413" s="64">
        <f>+'INVENTARIO ENERO-MARZO 2021'!$H413-'INVENTARIO ENERO-MARZO 2021'!$I413</f>
        <v>40</v>
      </c>
      <c r="K413" s="64"/>
      <c r="L413" s="64"/>
      <c r="M413" s="64"/>
      <c r="N413" s="64"/>
      <c r="O413" s="64">
        <f>+Tabla1[[#This Row],[STOCK    FISICO ENERO 2021]]-Tabla1[[#This Row],[REQUISICIONES FEBRERO 2021]]</f>
        <v>40</v>
      </c>
      <c r="P413" s="64">
        <f>+Tabla1[[#This Row],[STOCK  FEBRERO 2021]]-Tabla1[[#This Row],[REQUISICIONES MARZO 2021]]+Tabla1[[#This Row],[ENTRADAS MARZO 2021]]</f>
        <v>40</v>
      </c>
      <c r="Q413" s="31" t="s">
        <v>112</v>
      </c>
      <c r="R413" s="35">
        <v>28.07</v>
      </c>
      <c r="S413" s="36">
        <f t="shared" si="16"/>
        <v>33.122599999999998</v>
      </c>
      <c r="T413" s="100">
        <f>Tabla1[[#This Row],[STOCK MARZO ]]*Tabla1[[#This Row],[COSTO UNITARIO SIN ITBIS]]</f>
        <v>1122.8</v>
      </c>
    </row>
    <row r="414" spans="1:20" s="9" customFormat="1" x14ac:dyDescent="0.25">
      <c r="A414" s="97">
        <v>14</v>
      </c>
      <c r="B414" s="32">
        <v>44110</v>
      </c>
      <c r="C414" s="29" t="s">
        <v>11</v>
      </c>
      <c r="D414" s="32">
        <v>44110</v>
      </c>
      <c r="E414" s="148"/>
      <c r="F414" s="14">
        <v>1648</v>
      </c>
      <c r="G414" s="77" t="s">
        <v>367</v>
      </c>
      <c r="H414" s="74">
        <f>33+1</f>
        <v>34</v>
      </c>
      <c r="I414" s="74"/>
      <c r="J414" s="74">
        <f>+'INVENTARIO ENERO-MARZO 2021'!$H414-'INVENTARIO ENERO-MARZO 2021'!$I414</f>
        <v>34</v>
      </c>
      <c r="K414" s="74"/>
      <c r="L414" s="74"/>
      <c r="M414" s="74">
        <v>2</v>
      </c>
      <c r="N414" s="74"/>
      <c r="O414" s="74">
        <f>+Tabla1[[#This Row],[STOCK    FISICO ENERO 2021]]-Tabla1[[#This Row],[REQUISICIONES FEBRERO 2021]]</f>
        <v>32</v>
      </c>
      <c r="P414" s="74">
        <f>+Tabla1[[#This Row],[STOCK  FEBRERO 2021]]-Tabla1[[#This Row],[REQUISICIONES MARZO 2021]]+Tabla1[[#This Row],[ENTRADAS MARZO 2021]]</f>
        <v>32</v>
      </c>
      <c r="Q414" s="75" t="s">
        <v>112</v>
      </c>
      <c r="R414" s="78">
        <v>5.35</v>
      </c>
      <c r="S414" s="36">
        <f t="shared" si="16"/>
        <v>6.3129999999999997</v>
      </c>
      <c r="T414" s="100">
        <f>Tabla1[[#This Row],[STOCK MARZO ]]*Tabla1[[#This Row],[COSTO UNITARIO SIN ITBIS]]</f>
        <v>171.2</v>
      </c>
    </row>
    <row r="415" spans="1:20" s="9" customFormat="1" x14ac:dyDescent="0.25">
      <c r="A415" s="97">
        <v>15</v>
      </c>
      <c r="B415" s="32">
        <v>43223</v>
      </c>
      <c r="C415" s="29" t="s">
        <v>11</v>
      </c>
      <c r="D415" s="32">
        <v>43223</v>
      </c>
      <c r="E415" s="148"/>
      <c r="F415" s="14"/>
      <c r="G415" s="33" t="s">
        <v>368</v>
      </c>
      <c r="H415" s="74">
        <v>2</v>
      </c>
      <c r="I415" s="74"/>
      <c r="J415" s="74">
        <f>+'INVENTARIO ENERO-MARZO 2021'!$H415-'INVENTARIO ENERO-MARZO 2021'!$I415</f>
        <v>2</v>
      </c>
      <c r="K415" s="74"/>
      <c r="L415" s="74"/>
      <c r="M415" s="74"/>
      <c r="N415" s="74"/>
      <c r="O415" s="74">
        <f>+Tabla1[[#This Row],[STOCK    FISICO ENERO 2021]]-Tabla1[[#This Row],[REQUISICIONES FEBRERO 2021]]</f>
        <v>2</v>
      </c>
      <c r="P415" s="74">
        <f>+Tabla1[[#This Row],[STOCK  FEBRERO 2021]]-Tabla1[[#This Row],[REQUISICIONES MARZO 2021]]+Tabla1[[#This Row],[ENTRADAS MARZO 2021]]</f>
        <v>2</v>
      </c>
      <c r="Q415" s="75" t="s">
        <v>112</v>
      </c>
      <c r="R415" s="78">
        <v>236</v>
      </c>
      <c r="S415" s="36">
        <f t="shared" si="16"/>
        <v>278.48</v>
      </c>
      <c r="T415" s="100">
        <f>Tabla1[[#This Row],[STOCK MARZO ]]*Tabla1[[#This Row],[COSTO UNITARIO SIN ITBIS]]</f>
        <v>472</v>
      </c>
    </row>
    <row r="416" spans="1:20" s="9" customFormat="1" ht="16.5" customHeight="1" x14ac:dyDescent="0.25">
      <c r="A416" s="97">
        <v>16</v>
      </c>
      <c r="B416" s="76">
        <v>44026</v>
      </c>
      <c r="C416" s="14" t="s">
        <v>11</v>
      </c>
      <c r="D416" s="76">
        <v>44026</v>
      </c>
      <c r="E416" s="156"/>
      <c r="F416" s="14"/>
      <c r="G416" s="77" t="s">
        <v>369</v>
      </c>
      <c r="H416" s="74">
        <v>10</v>
      </c>
      <c r="I416" s="74"/>
      <c r="J416" s="74">
        <f>+'INVENTARIO ENERO-MARZO 2021'!$H416-'INVENTARIO ENERO-MARZO 2021'!$I416</f>
        <v>10</v>
      </c>
      <c r="K416" s="74"/>
      <c r="L416" s="74"/>
      <c r="M416" s="74"/>
      <c r="N416" s="74"/>
      <c r="O416" s="74">
        <f>+Tabla1[[#This Row],[STOCK    FISICO ENERO 2021]]-Tabla1[[#This Row],[REQUISICIONES FEBRERO 2021]]</f>
        <v>10</v>
      </c>
      <c r="P416" s="74">
        <f>+Tabla1[[#This Row],[STOCK  FEBRERO 2021]]-Tabla1[[#This Row],[REQUISICIONES MARZO 2021]]+Tabla1[[#This Row],[ENTRADAS MARZO 2021]]</f>
        <v>10</v>
      </c>
      <c r="Q416" s="75" t="s">
        <v>112</v>
      </c>
      <c r="R416" s="78">
        <v>188.8</v>
      </c>
      <c r="S416" s="36">
        <f t="shared" si="16"/>
        <v>222.78400000000002</v>
      </c>
      <c r="T416" s="100">
        <f>Tabla1[[#This Row],[STOCK MARZO ]]*Tabla1[[#This Row],[COSTO UNITARIO SIN ITBIS]]</f>
        <v>1888</v>
      </c>
    </row>
    <row r="417" spans="1:20" s="9" customFormat="1" ht="15.75" customHeight="1" x14ac:dyDescent="0.25">
      <c r="A417" s="97">
        <v>17</v>
      </c>
      <c r="B417" s="32">
        <v>44168</v>
      </c>
      <c r="C417" s="14" t="s">
        <v>11</v>
      </c>
      <c r="D417" s="32">
        <v>44153</v>
      </c>
      <c r="E417" s="148"/>
      <c r="F417" s="14"/>
      <c r="G417" s="77" t="s">
        <v>370</v>
      </c>
      <c r="H417" s="74">
        <v>30</v>
      </c>
      <c r="I417" s="74"/>
      <c r="J417" s="74">
        <f>+'INVENTARIO ENERO-MARZO 2021'!$H417-'INVENTARIO ENERO-MARZO 2021'!$I417</f>
        <v>30</v>
      </c>
      <c r="K417" s="74"/>
      <c r="L417" s="74"/>
      <c r="M417" s="74"/>
      <c r="N417" s="74"/>
      <c r="O417" s="74">
        <f>+Tabla1[[#This Row],[STOCK    FISICO ENERO 2021]]-Tabla1[[#This Row],[REQUISICIONES FEBRERO 2021]]</f>
        <v>30</v>
      </c>
      <c r="P417" s="74">
        <f>+Tabla1[[#This Row],[STOCK  FEBRERO 2021]]-Tabla1[[#This Row],[REQUISICIONES MARZO 2021]]+Tabla1[[#This Row],[ENTRADAS MARZO 2021]]</f>
        <v>30</v>
      </c>
      <c r="Q417" s="75" t="s">
        <v>112</v>
      </c>
      <c r="R417" s="78">
        <v>94.4</v>
      </c>
      <c r="S417" s="36">
        <f t="shared" si="16"/>
        <v>111.39200000000001</v>
      </c>
      <c r="T417" s="100">
        <f>Tabla1[[#This Row],[STOCK MARZO ]]*Tabla1[[#This Row],[COSTO UNITARIO SIN ITBIS]]</f>
        <v>2832</v>
      </c>
    </row>
    <row r="418" spans="1:20" s="9" customFormat="1" x14ac:dyDescent="0.25">
      <c r="A418" s="97">
        <v>18</v>
      </c>
      <c r="B418" s="32">
        <v>44168</v>
      </c>
      <c r="C418" s="29" t="s">
        <v>11</v>
      </c>
      <c r="D418" s="32">
        <v>44153</v>
      </c>
      <c r="E418" s="148"/>
      <c r="F418" s="29">
        <v>1672</v>
      </c>
      <c r="G418" s="33" t="s">
        <v>371</v>
      </c>
      <c r="H418" s="64">
        <v>25</v>
      </c>
      <c r="I418" s="64"/>
      <c r="J418" s="64">
        <f>+'INVENTARIO ENERO-MARZO 2021'!$H418-'INVENTARIO ENERO-MARZO 2021'!$I418</f>
        <v>25</v>
      </c>
      <c r="K418" s="64"/>
      <c r="L418" s="64"/>
      <c r="M418" s="64">
        <v>1</v>
      </c>
      <c r="N418" s="64">
        <v>1</v>
      </c>
      <c r="O418" s="64">
        <f>+Tabla1[[#This Row],[STOCK    FISICO ENERO 2021]]-Tabla1[[#This Row],[REQUISICIONES FEBRERO 2021]]</f>
        <v>24</v>
      </c>
      <c r="P418" s="64">
        <f>+Tabla1[[#This Row],[STOCK  FEBRERO 2021]]-Tabla1[[#This Row],[REQUISICIONES MARZO 2021]]+Tabla1[[#This Row],[ENTRADAS MARZO 2021]]</f>
        <v>23</v>
      </c>
      <c r="Q418" s="31" t="s">
        <v>12</v>
      </c>
      <c r="R418" s="35">
        <v>170.4</v>
      </c>
      <c r="S418" s="36">
        <f t="shared" si="16"/>
        <v>201.072</v>
      </c>
      <c r="T418" s="100">
        <f>Tabla1[[#This Row],[STOCK MARZO ]]*Tabla1[[#This Row],[COSTO UNITARIO SIN ITBIS]]</f>
        <v>3919.2000000000003</v>
      </c>
    </row>
    <row r="419" spans="1:20" s="9" customFormat="1" x14ac:dyDescent="0.25">
      <c r="A419" s="97">
        <v>19</v>
      </c>
      <c r="B419" s="76">
        <v>42780</v>
      </c>
      <c r="C419" s="14" t="s">
        <v>11</v>
      </c>
      <c r="D419" s="76">
        <v>42780</v>
      </c>
      <c r="E419" s="156"/>
      <c r="F419" s="14" t="s">
        <v>23</v>
      </c>
      <c r="G419" s="77" t="s">
        <v>372</v>
      </c>
      <c r="H419" s="74">
        <v>28</v>
      </c>
      <c r="I419" s="74"/>
      <c r="J419" s="74">
        <f>+'INVENTARIO ENERO-MARZO 2021'!$H419-'INVENTARIO ENERO-MARZO 2021'!$I419</f>
        <v>28</v>
      </c>
      <c r="K419" s="74"/>
      <c r="L419" s="74"/>
      <c r="M419" s="74"/>
      <c r="N419" s="74"/>
      <c r="O419" s="74">
        <f>+Tabla1[[#This Row],[STOCK    FISICO ENERO 2021]]-Tabla1[[#This Row],[REQUISICIONES FEBRERO 2021]]</f>
        <v>28</v>
      </c>
      <c r="P419" s="74">
        <f>+Tabla1[[#This Row],[STOCK  FEBRERO 2021]]-Tabla1[[#This Row],[REQUISICIONES MARZO 2021]]+Tabla1[[#This Row],[ENTRADAS MARZO 2021]]</f>
        <v>28</v>
      </c>
      <c r="Q419" s="75" t="s">
        <v>12</v>
      </c>
      <c r="R419" s="78">
        <v>0</v>
      </c>
      <c r="S419" s="36">
        <f t="shared" si="16"/>
        <v>0</v>
      </c>
      <c r="T419" s="100">
        <f>Tabla1[[#This Row],[STOCK MARZO ]]*Tabla1[[#This Row],[COSTO UNITARIO SIN ITBIS]]</f>
        <v>0</v>
      </c>
    </row>
    <row r="420" spans="1:20" s="9" customFormat="1" x14ac:dyDescent="0.25">
      <c r="A420" s="97">
        <v>20</v>
      </c>
      <c r="B420" s="76">
        <v>42780</v>
      </c>
      <c r="C420" s="14" t="s">
        <v>11</v>
      </c>
      <c r="D420" s="76">
        <v>42780</v>
      </c>
      <c r="E420" s="156"/>
      <c r="F420" s="14">
        <v>1025</v>
      </c>
      <c r="G420" s="77" t="s">
        <v>373</v>
      </c>
      <c r="H420" s="74">
        <v>2</v>
      </c>
      <c r="I420" s="74"/>
      <c r="J420" s="74">
        <f>+'INVENTARIO ENERO-MARZO 2021'!$H420-'INVENTARIO ENERO-MARZO 2021'!$I420</f>
        <v>2</v>
      </c>
      <c r="K420" s="74"/>
      <c r="L420" s="74"/>
      <c r="M420" s="74"/>
      <c r="N420" s="74"/>
      <c r="O420" s="74">
        <f>+Tabla1[[#This Row],[STOCK    FISICO ENERO 2021]]-Tabla1[[#This Row],[REQUISICIONES FEBRERO 2021]]</f>
        <v>2</v>
      </c>
      <c r="P420" s="74">
        <f>+Tabla1[[#This Row],[STOCK  FEBRERO 2021]]-Tabla1[[#This Row],[REQUISICIONES MARZO 2021]]+Tabla1[[#This Row],[ENTRADAS MARZO 2021]]</f>
        <v>2</v>
      </c>
      <c r="Q420" s="75" t="s">
        <v>112</v>
      </c>
      <c r="R420" s="78">
        <v>60</v>
      </c>
      <c r="S420" s="36">
        <f t="shared" si="16"/>
        <v>70.8</v>
      </c>
      <c r="T420" s="100">
        <f>Tabla1[[#This Row],[STOCK MARZO ]]*Tabla1[[#This Row],[COSTO UNITARIO SIN ITBIS]]</f>
        <v>120</v>
      </c>
    </row>
    <row r="421" spans="1:20" s="9" customFormat="1" x14ac:dyDescent="0.25">
      <c r="A421" s="97">
        <v>21</v>
      </c>
      <c r="B421" s="32">
        <v>43223</v>
      </c>
      <c r="C421" s="29" t="s">
        <v>11</v>
      </c>
      <c r="D421" s="32">
        <v>43223</v>
      </c>
      <c r="E421" s="148"/>
      <c r="F421" s="29">
        <v>1026</v>
      </c>
      <c r="G421" s="33" t="s">
        <v>374</v>
      </c>
      <c r="H421" s="64">
        <v>5</v>
      </c>
      <c r="I421" s="64"/>
      <c r="J421" s="64">
        <f>+'INVENTARIO ENERO-MARZO 2021'!$H421-'INVENTARIO ENERO-MARZO 2021'!$I421</f>
        <v>5</v>
      </c>
      <c r="K421" s="64"/>
      <c r="L421" s="64"/>
      <c r="M421" s="64"/>
      <c r="N421" s="64"/>
      <c r="O421" s="64">
        <f>+Tabla1[[#This Row],[STOCK    FISICO ENERO 2021]]-Tabla1[[#This Row],[REQUISICIONES FEBRERO 2021]]</f>
        <v>5</v>
      </c>
      <c r="P421" s="64">
        <f>+Tabla1[[#This Row],[STOCK  FEBRERO 2021]]-Tabla1[[#This Row],[REQUISICIONES MARZO 2021]]+Tabla1[[#This Row],[ENTRADAS MARZO 2021]]</f>
        <v>5</v>
      </c>
      <c r="Q421" s="31" t="s">
        <v>12</v>
      </c>
      <c r="R421" s="35">
        <v>304</v>
      </c>
      <c r="S421" s="36">
        <f t="shared" si="16"/>
        <v>358.72</v>
      </c>
      <c r="T421" s="100">
        <f>Tabla1[[#This Row],[STOCK MARZO ]]*Tabla1[[#This Row],[COSTO UNITARIO SIN ITBIS]]</f>
        <v>1520</v>
      </c>
    </row>
    <row r="422" spans="1:20" s="9" customFormat="1" x14ac:dyDescent="0.25">
      <c r="A422" s="97">
        <v>22</v>
      </c>
      <c r="B422" s="32">
        <v>44026</v>
      </c>
      <c r="C422" s="29" t="s">
        <v>11</v>
      </c>
      <c r="D422" s="32">
        <v>44026</v>
      </c>
      <c r="E422" s="148"/>
      <c r="F422" s="14">
        <v>1701</v>
      </c>
      <c r="G422" s="77" t="s">
        <v>375</v>
      </c>
      <c r="H422" s="74">
        <v>2</v>
      </c>
      <c r="I422" s="74"/>
      <c r="J422" s="74">
        <f>+'INVENTARIO ENERO-MARZO 2021'!$H422-'INVENTARIO ENERO-MARZO 2021'!$I422</f>
        <v>2</v>
      </c>
      <c r="K422" s="74"/>
      <c r="L422" s="74"/>
      <c r="M422" s="74"/>
      <c r="N422" s="74">
        <v>1</v>
      </c>
      <c r="O422" s="74">
        <f>+Tabla1[[#This Row],[STOCK    FISICO ENERO 2021]]-Tabla1[[#This Row],[REQUISICIONES FEBRERO 2021]]</f>
        <v>2</v>
      </c>
      <c r="P422" s="74">
        <f>+Tabla1[[#This Row],[STOCK  FEBRERO 2021]]-Tabla1[[#This Row],[REQUISICIONES MARZO 2021]]+Tabla1[[#This Row],[ENTRADAS MARZO 2021]]</f>
        <v>1</v>
      </c>
      <c r="Q422" s="75" t="s">
        <v>12</v>
      </c>
      <c r="R422" s="78">
        <v>462</v>
      </c>
      <c r="S422" s="36">
        <f t="shared" si="16"/>
        <v>545.16</v>
      </c>
      <c r="T422" s="100">
        <f>Tabla1[[#This Row],[STOCK MARZO ]]*Tabla1[[#This Row],[COSTO UNITARIO SIN ITBIS]]</f>
        <v>462</v>
      </c>
    </row>
    <row r="423" spans="1:20" s="9" customFormat="1" x14ac:dyDescent="0.25">
      <c r="A423" s="97">
        <v>23</v>
      </c>
      <c r="B423" s="32">
        <v>44168</v>
      </c>
      <c r="C423" s="14" t="s">
        <v>11</v>
      </c>
      <c r="D423" s="32">
        <v>44153</v>
      </c>
      <c r="E423" s="148"/>
      <c r="F423" s="29">
        <v>1301</v>
      </c>
      <c r="G423" s="33" t="s">
        <v>376</v>
      </c>
      <c r="H423" s="64">
        <v>10</v>
      </c>
      <c r="I423" s="64"/>
      <c r="J423" s="64">
        <f>+'INVENTARIO ENERO-MARZO 2021'!$H423-'INVENTARIO ENERO-MARZO 2021'!$I423</f>
        <v>10</v>
      </c>
      <c r="K423" s="64"/>
      <c r="L423" s="64"/>
      <c r="M423" s="64">
        <v>1</v>
      </c>
      <c r="N423" s="64">
        <v>1</v>
      </c>
      <c r="O423" s="64">
        <f>+Tabla1[[#This Row],[STOCK    FISICO ENERO 2021]]-Tabla1[[#This Row],[REQUISICIONES FEBRERO 2021]]</f>
        <v>9</v>
      </c>
      <c r="P423" s="64">
        <f>+Tabla1[[#This Row],[STOCK  FEBRERO 2021]]-Tabla1[[#This Row],[REQUISICIONES MARZO 2021]]+Tabla1[[#This Row],[ENTRADAS MARZO 2021]]</f>
        <v>8</v>
      </c>
      <c r="Q423" s="31" t="s">
        <v>377</v>
      </c>
      <c r="R423" s="35">
        <v>649</v>
      </c>
      <c r="S423" s="36">
        <f t="shared" si="16"/>
        <v>765.81999999999994</v>
      </c>
      <c r="T423" s="100">
        <f>Tabla1[[#This Row],[STOCK MARZO ]]*Tabla1[[#This Row],[COSTO UNITARIO SIN ITBIS]]</f>
        <v>5192</v>
      </c>
    </row>
    <row r="424" spans="1:20" s="9" customFormat="1" x14ac:dyDescent="0.25">
      <c r="A424" s="97">
        <v>24</v>
      </c>
      <c r="B424" s="32">
        <v>44026</v>
      </c>
      <c r="C424" s="29" t="s">
        <v>11</v>
      </c>
      <c r="D424" s="32">
        <v>44026</v>
      </c>
      <c r="E424" s="148"/>
      <c r="F424" s="14" t="s">
        <v>23</v>
      </c>
      <c r="G424" s="77" t="s">
        <v>378</v>
      </c>
      <c r="H424" s="74">
        <v>12</v>
      </c>
      <c r="I424" s="74"/>
      <c r="J424" s="74">
        <f>+'INVENTARIO ENERO-MARZO 2021'!$H424-'INVENTARIO ENERO-MARZO 2021'!$I424</f>
        <v>12</v>
      </c>
      <c r="K424" s="74"/>
      <c r="L424" s="74"/>
      <c r="M424" s="74"/>
      <c r="N424" s="74"/>
      <c r="O424" s="74">
        <f>+Tabla1[[#This Row],[STOCK    FISICO ENERO 2021]]-Tabla1[[#This Row],[REQUISICIONES FEBRERO 2021]]</f>
        <v>12</v>
      </c>
      <c r="P424" s="74">
        <f>+Tabla1[[#This Row],[STOCK  FEBRERO 2021]]-Tabla1[[#This Row],[REQUISICIONES MARZO 2021]]+Tabla1[[#This Row],[ENTRADAS MARZO 2021]]</f>
        <v>12</v>
      </c>
      <c r="Q424" s="75" t="s">
        <v>12</v>
      </c>
      <c r="R424" s="78">
        <v>0</v>
      </c>
      <c r="S424" s="36">
        <f t="shared" si="16"/>
        <v>0</v>
      </c>
      <c r="T424" s="100">
        <f>Tabla1[[#This Row],[STOCK MARZO ]]*Tabla1[[#This Row],[COSTO UNITARIO SIN ITBIS]]</f>
        <v>0</v>
      </c>
    </row>
    <row r="425" spans="1:20" s="9" customFormat="1" x14ac:dyDescent="0.25">
      <c r="A425" s="97">
        <v>25</v>
      </c>
      <c r="B425" s="76">
        <v>44168</v>
      </c>
      <c r="C425" s="14" t="s">
        <v>11</v>
      </c>
      <c r="D425" s="76">
        <v>44153</v>
      </c>
      <c r="E425" s="156"/>
      <c r="F425" s="14">
        <v>1703</v>
      </c>
      <c r="G425" s="77" t="s">
        <v>379</v>
      </c>
      <c r="H425" s="74">
        <v>3</v>
      </c>
      <c r="I425" s="74"/>
      <c r="J425" s="74">
        <f>+'INVENTARIO ENERO-MARZO 2021'!$H425-'INVENTARIO ENERO-MARZO 2021'!$I425</f>
        <v>3</v>
      </c>
      <c r="K425" s="74"/>
      <c r="L425" s="74"/>
      <c r="M425" s="74"/>
      <c r="N425" s="74"/>
      <c r="O425" s="74">
        <f>+Tabla1[[#This Row],[STOCK    FISICO ENERO 2021]]-Tabla1[[#This Row],[REQUISICIONES FEBRERO 2021]]</f>
        <v>3</v>
      </c>
      <c r="P425" s="74">
        <f>+Tabla1[[#This Row],[STOCK  FEBRERO 2021]]-Tabla1[[#This Row],[REQUISICIONES MARZO 2021]]+Tabla1[[#This Row],[ENTRADAS MARZO 2021]]</f>
        <v>3</v>
      </c>
      <c r="Q425" s="75" t="s">
        <v>12</v>
      </c>
      <c r="R425" s="78">
        <v>228.81</v>
      </c>
      <c r="S425" s="36">
        <f t="shared" si="16"/>
        <v>269.99580000000003</v>
      </c>
      <c r="T425" s="100">
        <f>Tabla1[[#This Row],[STOCK MARZO ]]*Tabla1[[#This Row],[COSTO UNITARIO SIN ITBIS]]</f>
        <v>686.43000000000006</v>
      </c>
    </row>
    <row r="426" spans="1:20" s="9" customFormat="1" x14ac:dyDescent="0.25">
      <c r="A426" s="97">
        <v>26</v>
      </c>
      <c r="B426" s="32">
        <v>44026</v>
      </c>
      <c r="C426" s="29" t="s">
        <v>11</v>
      </c>
      <c r="D426" s="32">
        <v>44026</v>
      </c>
      <c r="E426" s="148"/>
      <c r="F426" s="14"/>
      <c r="G426" s="77" t="s">
        <v>380</v>
      </c>
      <c r="H426" s="74">
        <v>3</v>
      </c>
      <c r="I426" s="74"/>
      <c r="J426" s="74">
        <f>+'INVENTARIO ENERO-MARZO 2021'!$H426-'INVENTARIO ENERO-MARZO 2021'!$I426</f>
        <v>3</v>
      </c>
      <c r="K426" s="74"/>
      <c r="L426" s="74"/>
      <c r="M426" s="74"/>
      <c r="N426" s="74"/>
      <c r="O426" s="74">
        <f>+Tabla1[[#This Row],[STOCK    FISICO ENERO 2021]]-Tabla1[[#This Row],[REQUISICIONES FEBRERO 2021]]</f>
        <v>3</v>
      </c>
      <c r="P426" s="74">
        <f>+Tabla1[[#This Row],[STOCK  FEBRERO 2021]]-Tabla1[[#This Row],[REQUISICIONES MARZO 2021]]+Tabla1[[#This Row],[ENTRADAS MARZO 2021]]</f>
        <v>3</v>
      </c>
      <c r="Q426" s="75" t="s">
        <v>12</v>
      </c>
      <c r="R426" s="78">
        <v>2542.9</v>
      </c>
      <c r="S426" s="36">
        <f t="shared" si="16"/>
        <v>3000.6220000000003</v>
      </c>
      <c r="T426" s="100">
        <f>Tabla1[[#This Row],[STOCK MARZO ]]*Tabla1[[#This Row],[COSTO UNITARIO SIN ITBIS]]</f>
        <v>7628.7000000000007</v>
      </c>
    </row>
    <row r="427" spans="1:20" s="9" customFormat="1" x14ac:dyDescent="0.25">
      <c r="A427" s="97">
        <v>27</v>
      </c>
      <c r="B427" s="76">
        <v>44110</v>
      </c>
      <c r="C427" s="14" t="s">
        <v>11</v>
      </c>
      <c r="D427" s="76">
        <v>44110</v>
      </c>
      <c r="E427" s="156"/>
      <c r="F427" s="29">
        <v>1702</v>
      </c>
      <c r="G427" s="33" t="s">
        <v>381</v>
      </c>
      <c r="H427" s="64">
        <v>22</v>
      </c>
      <c r="I427" s="64"/>
      <c r="J427" s="64">
        <f>+'INVENTARIO ENERO-MARZO 2021'!$H427-'INVENTARIO ENERO-MARZO 2021'!$I427</f>
        <v>22</v>
      </c>
      <c r="K427" s="64"/>
      <c r="L427" s="64"/>
      <c r="M427" s="64"/>
      <c r="N427" s="64"/>
      <c r="O427" s="64">
        <f>+Tabla1[[#This Row],[STOCK    FISICO ENERO 2021]]-Tabla1[[#This Row],[REQUISICIONES FEBRERO 2021]]</f>
        <v>22</v>
      </c>
      <c r="P427" s="64">
        <f>+Tabla1[[#This Row],[STOCK  FEBRERO 2021]]-Tabla1[[#This Row],[REQUISICIONES MARZO 2021]]+Tabla1[[#This Row],[ENTRADAS MARZO 2021]]</f>
        <v>22</v>
      </c>
      <c r="Q427" s="75" t="s">
        <v>12</v>
      </c>
      <c r="R427" s="35">
        <v>318</v>
      </c>
      <c r="S427" s="36">
        <f t="shared" si="16"/>
        <v>375.24</v>
      </c>
      <c r="T427" s="100">
        <f>Tabla1[[#This Row],[STOCK MARZO ]]*Tabla1[[#This Row],[COSTO UNITARIO SIN ITBIS]]</f>
        <v>6996</v>
      </c>
    </row>
    <row r="428" spans="1:20" s="9" customFormat="1" x14ac:dyDescent="0.25">
      <c r="A428" s="97">
        <v>28</v>
      </c>
      <c r="B428" s="76">
        <v>43089</v>
      </c>
      <c r="C428" s="14" t="s">
        <v>11</v>
      </c>
      <c r="D428" s="76">
        <v>43089</v>
      </c>
      <c r="E428" s="156"/>
      <c r="F428" s="14">
        <v>1704</v>
      </c>
      <c r="G428" s="77" t="s">
        <v>382</v>
      </c>
      <c r="H428" s="74">
        <v>2</v>
      </c>
      <c r="I428" s="74"/>
      <c r="J428" s="74">
        <f>+'INVENTARIO ENERO-MARZO 2021'!$H428-'INVENTARIO ENERO-MARZO 2021'!$I428</f>
        <v>2</v>
      </c>
      <c r="K428" s="74"/>
      <c r="L428" s="74"/>
      <c r="M428" s="74">
        <v>1</v>
      </c>
      <c r="N428" s="74"/>
      <c r="O428" s="74">
        <f>+Tabla1[[#This Row],[STOCK    FISICO ENERO 2021]]-Tabla1[[#This Row],[REQUISICIONES FEBRERO 2021]]</f>
        <v>1</v>
      </c>
      <c r="P428" s="74">
        <f>+Tabla1[[#This Row],[STOCK  FEBRERO 2021]]-Tabla1[[#This Row],[REQUISICIONES MARZO 2021]]+Tabla1[[#This Row],[ENTRADAS MARZO 2021]]</f>
        <v>1</v>
      </c>
      <c r="Q428" s="75" t="s">
        <v>12</v>
      </c>
      <c r="R428" s="78">
        <v>142.37</v>
      </c>
      <c r="S428" s="36">
        <f t="shared" si="16"/>
        <v>167.9966</v>
      </c>
      <c r="T428" s="100">
        <f>Tabla1[[#This Row],[STOCK MARZO ]]*Tabla1[[#This Row],[COSTO UNITARIO SIN ITBIS]]</f>
        <v>142.37</v>
      </c>
    </row>
    <row r="429" spans="1:20" s="9" customFormat="1" x14ac:dyDescent="0.25">
      <c r="A429" s="97">
        <v>29</v>
      </c>
      <c r="B429" s="32">
        <v>43089</v>
      </c>
      <c r="C429" s="29" t="s">
        <v>11</v>
      </c>
      <c r="D429" s="32">
        <v>43089</v>
      </c>
      <c r="E429" s="148"/>
      <c r="F429" s="29">
        <v>1302</v>
      </c>
      <c r="G429" s="33" t="s">
        <v>383</v>
      </c>
      <c r="H429" s="64">
        <v>0</v>
      </c>
      <c r="I429" s="64"/>
      <c r="J429" s="64">
        <f>+'INVENTARIO ENERO-MARZO 2021'!$H429-'INVENTARIO ENERO-MARZO 2021'!$I429</f>
        <v>0</v>
      </c>
      <c r="K429" s="64"/>
      <c r="L429" s="64"/>
      <c r="M429" s="64"/>
      <c r="N429" s="64"/>
      <c r="O429" s="64">
        <f>+Tabla1[[#This Row],[STOCK    FISICO ENERO 2021]]-Tabla1[[#This Row],[REQUISICIONES FEBRERO 2021]]</f>
        <v>0</v>
      </c>
      <c r="P429" s="64">
        <f>+Tabla1[[#This Row],[STOCK  FEBRERO 2021]]-Tabla1[[#This Row],[REQUISICIONES MARZO 2021]]+Tabla1[[#This Row],[ENTRADAS MARZO 2021]]</f>
        <v>0</v>
      </c>
      <c r="Q429" s="75" t="s">
        <v>12</v>
      </c>
      <c r="R429" s="35">
        <v>0</v>
      </c>
      <c r="S429" s="36">
        <f t="shared" si="16"/>
        <v>0</v>
      </c>
      <c r="T429" s="100">
        <f>Tabla1[[#This Row],[STOCK MARZO ]]*Tabla1[[#This Row],[COSTO UNITARIO SIN ITBIS]]</f>
        <v>0</v>
      </c>
    </row>
    <row r="430" spans="1:20" s="9" customFormat="1" x14ac:dyDescent="0.25">
      <c r="A430" s="97">
        <v>30</v>
      </c>
      <c r="B430" s="76">
        <v>44027</v>
      </c>
      <c r="C430" s="14" t="s">
        <v>11</v>
      </c>
      <c r="D430" s="76">
        <v>44027</v>
      </c>
      <c r="E430" s="156"/>
      <c r="F430" s="14">
        <v>1329</v>
      </c>
      <c r="G430" s="77" t="s">
        <v>384</v>
      </c>
      <c r="H430" s="74">
        <v>0</v>
      </c>
      <c r="I430" s="74"/>
      <c r="J430" s="74">
        <f>+'INVENTARIO ENERO-MARZO 2021'!$H430-'INVENTARIO ENERO-MARZO 2021'!$I430</f>
        <v>0</v>
      </c>
      <c r="K430" s="74"/>
      <c r="L430" s="74"/>
      <c r="M430" s="74"/>
      <c r="N430" s="74"/>
      <c r="O430" s="74">
        <f>+Tabla1[[#This Row],[STOCK    FISICO ENERO 2021]]-Tabla1[[#This Row],[REQUISICIONES FEBRERO 2021]]</f>
        <v>0</v>
      </c>
      <c r="P430" s="74">
        <f>+Tabla1[[#This Row],[STOCK  FEBRERO 2021]]-Tabla1[[#This Row],[REQUISICIONES MARZO 2021]]+Tabla1[[#This Row],[ENTRADAS MARZO 2021]]</f>
        <v>0</v>
      </c>
      <c r="Q430" s="75" t="s">
        <v>12</v>
      </c>
      <c r="R430" s="78">
        <v>0</v>
      </c>
      <c r="S430" s="36">
        <f t="shared" si="16"/>
        <v>0</v>
      </c>
      <c r="T430" s="100">
        <f>Tabla1[[#This Row],[STOCK MARZO ]]*Tabla1[[#This Row],[COSTO UNITARIO SIN ITBIS]]</f>
        <v>0</v>
      </c>
    </row>
    <row r="431" spans="1:20" s="9" customFormat="1" x14ac:dyDescent="0.25">
      <c r="A431" s="97">
        <v>31</v>
      </c>
      <c r="B431" s="32">
        <v>44168</v>
      </c>
      <c r="C431" s="29" t="s">
        <v>11</v>
      </c>
      <c r="D431" s="32">
        <v>44154</v>
      </c>
      <c r="E431" s="148"/>
      <c r="F431" s="14"/>
      <c r="G431" s="77" t="s">
        <v>385</v>
      </c>
      <c r="H431" s="74">
        <v>2</v>
      </c>
      <c r="I431" s="74"/>
      <c r="J431" s="74">
        <f>+'INVENTARIO ENERO-MARZO 2021'!$H431-'INVENTARIO ENERO-MARZO 2021'!$I431</f>
        <v>2</v>
      </c>
      <c r="K431" s="74"/>
      <c r="L431" s="74"/>
      <c r="M431" s="74">
        <v>1</v>
      </c>
      <c r="N431" s="74"/>
      <c r="O431" s="74">
        <f>+Tabla1[[#This Row],[STOCK    FISICO ENERO 2021]]-Tabla1[[#This Row],[REQUISICIONES FEBRERO 2021]]</f>
        <v>1</v>
      </c>
      <c r="P431" s="74">
        <f>+Tabla1[[#This Row],[STOCK  FEBRERO 2021]]-Tabla1[[#This Row],[REQUISICIONES MARZO 2021]]+Tabla1[[#This Row],[ENTRADAS MARZO 2021]]</f>
        <v>1</v>
      </c>
      <c r="Q431" s="75" t="s">
        <v>12</v>
      </c>
      <c r="R431" s="78">
        <v>354</v>
      </c>
      <c r="S431" s="36">
        <f t="shared" si="16"/>
        <v>417.72</v>
      </c>
      <c r="T431" s="100">
        <f>Tabla1[[#This Row],[STOCK MARZO ]]*Tabla1[[#This Row],[COSTO UNITARIO SIN ITBIS]]</f>
        <v>354</v>
      </c>
    </row>
    <row r="432" spans="1:20" s="9" customFormat="1" x14ac:dyDescent="0.25">
      <c r="A432" s="97">
        <v>32</v>
      </c>
      <c r="B432" s="76">
        <v>44110</v>
      </c>
      <c r="C432" s="14" t="s">
        <v>11</v>
      </c>
      <c r="D432" s="76">
        <v>44110</v>
      </c>
      <c r="E432" s="156"/>
      <c r="F432" s="29">
        <v>1067</v>
      </c>
      <c r="G432" s="33" t="s">
        <v>386</v>
      </c>
      <c r="H432" s="64">
        <v>13</v>
      </c>
      <c r="I432" s="64"/>
      <c r="J432" s="64">
        <f>+'INVENTARIO ENERO-MARZO 2021'!$H432-'INVENTARIO ENERO-MARZO 2021'!$I432</f>
        <v>13</v>
      </c>
      <c r="K432" s="64"/>
      <c r="L432" s="64"/>
      <c r="M432" s="64"/>
      <c r="N432" s="64">
        <f>2+4</f>
        <v>6</v>
      </c>
      <c r="O432" s="64">
        <f>+Tabla1[[#This Row],[STOCK    FISICO ENERO 2021]]-Tabla1[[#This Row],[REQUISICIONES FEBRERO 2021]]</f>
        <v>13</v>
      </c>
      <c r="P432" s="64">
        <f>+Tabla1[[#This Row],[STOCK  FEBRERO 2021]]-Tabla1[[#This Row],[REQUISICIONES MARZO 2021]]+Tabla1[[#This Row],[ENTRADAS MARZO 2021]]</f>
        <v>7</v>
      </c>
      <c r="Q432" s="31" t="s">
        <v>12</v>
      </c>
      <c r="R432" s="35">
        <v>17.59</v>
      </c>
      <c r="S432" s="36">
        <f t="shared" si="16"/>
        <v>20.7562</v>
      </c>
      <c r="T432" s="100">
        <f>Tabla1[[#This Row],[STOCK MARZO ]]*Tabla1[[#This Row],[COSTO UNITARIO SIN ITBIS]]</f>
        <v>123.13</v>
      </c>
    </row>
    <row r="433" spans="1:20" s="9" customFormat="1" x14ac:dyDescent="0.25">
      <c r="A433" s="97">
        <v>33</v>
      </c>
      <c r="B433" s="76">
        <v>44027</v>
      </c>
      <c r="C433" s="14" t="s">
        <v>11</v>
      </c>
      <c r="D433" s="76">
        <v>44027</v>
      </c>
      <c r="E433" s="156"/>
      <c r="F433" s="29">
        <v>1505</v>
      </c>
      <c r="G433" s="33" t="s">
        <v>387</v>
      </c>
      <c r="H433" s="64">
        <v>16</v>
      </c>
      <c r="I433" s="64"/>
      <c r="J433" s="64">
        <f>+'INVENTARIO ENERO-MARZO 2021'!$H433-'INVENTARIO ENERO-MARZO 2021'!$I433</f>
        <v>16</v>
      </c>
      <c r="K433" s="64"/>
      <c r="L433" s="64"/>
      <c r="M433" s="64"/>
      <c r="N433" s="64"/>
      <c r="O433" s="64">
        <f>+Tabla1[[#This Row],[STOCK    FISICO ENERO 2021]]-Tabla1[[#This Row],[REQUISICIONES FEBRERO 2021]]</f>
        <v>16</v>
      </c>
      <c r="P433" s="64">
        <f>+Tabla1[[#This Row],[STOCK  FEBRERO 2021]]-Tabla1[[#This Row],[REQUISICIONES MARZO 2021]]+Tabla1[[#This Row],[ENTRADAS MARZO 2021]]</f>
        <v>16</v>
      </c>
      <c r="Q433" s="31" t="s">
        <v>12</v>
      </c>
      <c r="R433" s="35">
        <v>11</v>
      </c>
      <c r="S433" s="36">
        <f t="shared" ref="S433:S464" si="17">R433*0.18+R433</f>
        <v>12.98</v>
      </c>
      <c r="T433" s="100">
        <f>Tabla1[[#This Row],[STOCK MARZO ]]*Tabla1[[#This Row],[COSTO UNITARIO SIN ITBIS]]</f>
        <v>176</v>
      </c>
    </row>
    <row r="434" spans="1:20" s="9" customFormat="1" x14ac:dyDescent="0.25">
      <c r="A434" s="97">
        <v>34</v>
      </c>
      <c r="B434" s="32">
        <v>44027</v>
      </c>
      <c r="C434" s="29" t="s">
        <v>11</v>
      </c>
      <c r="D434" s="32">
        <v>44027</v>
      </c>
      <c r="E434" s="148"/>
      <c r="F434" s="14">
        <v>1304</v>
      </c>
      <c r="G434" s="77" t="s">
        <v>388</v>
      </c>
      <c r="H434" s="74">
        <v>0</v>
      </c>
      <c r="I434" s="74"/>
      <c r="J434" s="74">
        <f>+'INVENTARIO ENERO-MARZO 2021'!$H434-'INVENTARIO ENERO-MARZO 2021'!$I434</f>
        <v>0</v>
      </c>
      <c r="K434" s="74"/>
      <c r="L434" s="74"/>
      <c r="M434" s="74"/>
      <c r="N434" s="74"/>
      <c r="O434" s="74">
        <f>+Tabla1[[#This Row],[STOCK    FISICO ENERO 2021]]-Tabla1[[#This Row],[REQUISICIONES FEBRERO 2021]]</f>
        <v>0</v>
      </c>
      <c r="P434" s="74">
        <f>+Tabla1[[#This Row],[STOCK  FEBRERO 2021]]-Tabla1[[#This Row],[REQUISICIONES MARZO 2021]]+Tabla1[[#This Row],[ENTRADAS MARZO 2021]]</f>
        <v>0</v>
      </c>
      <c r="Q434" s="75" t="s">
        <v>12</v>
      </c>
      <c r="R434" s="78">
        <v>0</v>
      </c>
      <c r="S434" s="36">
        <f t="shared" si="17"/>
        <v>0</v>
      </c>
      <c r="T434" s="100">
        <f>Tabla1[[#This Row],[STOCK MARZO ]]*Tabla1[[#This Row],[COSTO UNITARIO SIN ITBIS]]</f>
        <v>0</v>
      </c>
    </row>
    <row r="435" spans="1:20" s="9" customFormat="1" x14ac:dyDescent="0.25">
      <c r="A435" s="97">
        <v>35</v>
      </c>
      <c r="B435" s="76">
        <v>44027</v>
      </c>
      <c r="C435" s="14" t="s">
        <v>11</v>
      </c>
      <c r="D435" s="76">
        <v>44027</v>
      </c>
      <c r="E435" s="156"/>
      <c r="F435" s="29">
        <v>1068</v>
      </c>
      <c r="G435" s="33" t="s">
        <v>389</v>
      </c>
      <c r="H435" s="64">
        <v>0</v>
      </c>
      <c r="I435" s="64"/>
      <c r="J435" s="64">
        <f>+'INVENTARIO ENERO-MARZO 2021'!$H435-'INVENTARIO ENERO-MARZO 2021'!$I435</f>
        <v>0</v>
      </c>
      <c r="K435" s="64"/>
      <c r="L435" s="64"/>
      <c r="M435" s="64"/>
      <c r="N435" s="64"/>
      <c r="O435" s="64">
        <f>+Tabla1[[#This Row],[STOCK    FISICO ENERO 2021]]-Tabla1[[#This Row],[REQUISICIONES FEBRERO 2021]]</f>
        <v>0</v>
      </c>
      <c r="P435" s="64">
        <f>+Tabla1[[#This Row],[STOCK  FEBRERO 2021]]-Tabla1[[#This Row],[REQUISICIONES MARZO 2021]]+Tabla1[[#This Row],[ENTRADAS MARZO 2021]]</f>
        <v>0</v>
      </c>
      <c r="Q435" s="31" t="s">
        <v>12</v>
      </c>
      <c r="R435" s="35">
        <v>62</v>
      </c>
      <c r="S435" s="36">
        <f t="shared" si="17"/>
        <v>73.16</v>
      </c>
      <c r="T435" s="100">
        <f>Tabla1[[#This Row],[STOCK MARZO ]]*Tabla1[[#This Row],[COSTO UNITARIO SIN ITBIS]]</f>
        <v>0</v>
      </c>
    </row>
    <row r="436" spans="1:20" s="9" customFormat="1" x14ac:dyDescent="0.25">
      <c r="A436" s="97">
        <v>36</v>
      </c>
      <c r="B436" s="32">
        <v>43223</v>
      </c>
      <c r="C436" s="29" t="s">
        <v>11</v>
      </c>
      <c r="D436" s="32">
        <v>43223</v>
      </c>
      <c r="E436" s="148"/>
      <c r="F436" s="14">
        <v>1658</v>
      </c>
      <c r="G436" s="77" t="s">
        <v>390</v>
      </c>
      <c r="H436" s="74">
        <v>21</v>
      </c>
      <c r="I436" s="74"/>
      <c r="J436" s="74">
        <f>+'INVENTARIO ENERO-MARZO 2021'!$H436-'INVENTARIO ENERO-MARZO 2021'!$I436</f>
        <v>21</v>
      </c>
      <c r="K436" s="74"/>
      <c r="L436" s="74"/>
      <c r="M436" s="74"/>
      <c r="N436" s="74"/>
      <c r="O436" s="74">
        <f>+Tabla1[[#This Row],[STOCK    FISICO ENERO 2021]]-Tabla1[[#This Row],[REQUISICIONES FEBRERO 2021]]</f>
        <v>21</v>
      </c>
      <c r="P436" s="74">
        <f>+Tabla1[[#This Row],[STOCK  FEBRERO 2021]]-Tabla1[[#This Row],[REQUISICIONES MARZO 2021]]+Tabla1[[#This Row],[ENTRADAS MARZO 2021]]</f>
        <v>21</v>
      </c>
      <c r="Q436" s="75" t="s">
        <v>12</v>
      </c>
      <c r="R436" s="78">
        <v>16.27</v>
      </c>
      <c r="S436" s="36">
        <f t="shared" si="17"/>
        <v>19.198599999999999</v>
      </c>
      <c r="T436" s="100">
        <f>Tabla1[[#This Row],[STOCK MARZO ]]*Tabla1[[#This Row],[COSTO UNITARIO SIN ITBIS]]</f>
        <v>341.67</v>
      </c>
    </row>
    <row r="437" spans="1:20" s="9" customFormat="1" x14ac:dyDescent="0.25">
      <c r="A437" s="97">
        <v>37</v>
      </c>
      <c r="B437" s="76">
        <v>43223</v>
      </c>
      <c r="C437" s="14" t="s">
        <v>11</v>
      </c>
      <c r="D437" s="76">
        <v>43223</v>
      </c>
      <c r="E437" s="156"/>
      <c r="F437" s="29">
        <v>1656</v>
      </c>
      <c r="G437" s="33" t="s">
        <v>391</v>
      </c>
      <c r="H437" s="64">
        <v>44</v>
      </c>
      <c r="I437" s="64"/>
      <c r="J437" s="64">
        <f>+'INVENTARIO ENERO-MARZO 2021'!$H437-'INVENTARIO ENERO-MARZO 2021'!$I437</f>
        <v>44</v>
      </c>
      <c r="K437" s="64"/>
      <c r="L437" s="64"/>
      <c r="M437" s="64"/>
      <c r="N437" s="64">
        <f>2+2+2+1</f>
        <v>7</v>
      </c>
      <c r="O437" s="64">
        <f>+Tabla1[[#This Row],[STOCK    FISICO ENERO 2021]]-Tabla1[[#This Row],[REQUISICIONES FEBRERO 2021]]</f>
        <v>44</v>
      </c>
      <c r="P437" s="64">
        <f>+Tabla1[[#This Row],[STOCK  FEBRERO 2021]]-Tabla1[[#This Row],[REQUISICIONES MARZO 2021]]+Tabla1[[#This Row],[ENTRADAS MARZO 2021]]</f>
        <v>37</v>
      </c>
      <c r="Q437" s="31" t="s">
        <v>12</v>
      </c>
      <c r="R437" s="35">
        <v>6.55</v>
      </c>
      <c r="S437" s="36">
        <f t="shared" si="17"/>
        <v>7.7289999999999992</v>
      </c>
      <c r="T437" s="100">
        <f>Tabla1[[#This Row],[STOCK MARZO ]]*Tabla1[[#This Row],[COSTO UNITARIO SIN ITBIS]]</f>
        <v>242.35</v>
      </c>
    </row>
    <row r="438" spans="1:20" s="9" customFormat="1" x14ac:dyDescent="0.25">
      <c r="A438" s="97">
        <v>38</v>
      </c>
      <c r="B438" s="32">
        <v>43089</v>
      </c>
      <c r="C438" s="29" t="s">
        <v>11</v>
      </c>
      <c r="D438" s="32">
        <v>43089</v>
      </c>
      <c r="E438" s="148"/>
      <c r="F438" s="14">
        <v>1662</v>
      </c>
      <c r="G438" s="77" t="s">
        <v>392</v>
      </c>
      <c r="H438" s="74">
        <v>1</v>
      </c>
      <c r="I438" s="74"/>
      <c r="J438" s="74">
        <f>+'INVENTARIO ENERO-MARZO 2021'!$H438-'INVENTARIO ENERO-MARZO 2021'!$I438</f>
        <v>1</v>
      </c>
      <c r="K438" s="74"/>
      <c r="L438" s="74"/>
      <c r="M438" s="74"/>
      <c r="N438" s="74"/>
      <c r="O438" s="74">
        <f>+Tabla1[[#This Row],[STOCK    FISICO ENERO 2021]]-Tabla1[[#This Row],[REQUISICIONES FEBRERO 2021]]</f>
        <v>1</v>
      </c>
      <c r="P438" s="74">
        <f>+Tabla1[[#This Row],[STOCK  FEBRERO 2021]]-Tabla1[[#This Row],[REQUISICIONES MARZO 2021]]+Tabla1[[#This Row],[ENTRADAS MARZO 2021]]</f>
        <v>1</v>
      </c>
      <c r="Q438" s="75" t="s">
        <v>12</v>
      </c>
      <c r="R438" s="78">
        <v>20.34</v>
      </c>
      <c r="S438" s="36">
        <f t="shared" si="17"/>
        <v>24.001200000000001</v>
      </c>
      <c r="T438" s="100">
        <f>Tabla1[[#This Row],[STOCK MARZO ]]*Tabla1[[#This Row],[COSTO UNITARIO SIN ITBIS]]</f>
        <v>20.34</v>
      </c>
    </row>
    <row r="439" spans="1:20" s="9" customFormat="1" x14ac:dyDescent="0.25">
      <c r="A439" s="97">
        <v>39</v>
      </c>
      <c r="B439" s="32">
        <v>43664</v>
      </c>
      <c r="C439" s="29" t="s">
        <v>11</v>
      </c>
      <c r="D439" s="32">
        <v>43767</v>
      </c>
      <c r="E439" s="148"/>
      <c r="F439" s="29">
        <v>1661</v>
      </c>
      <c r="G439" s="33" t="s">
        <v>393</v>
      </c>
      <c r="H439" s="64">
        <v>25</v>
      </c>
      <c r="I439" s="64"/>
      <c r="J439" s="64">
        <f>+'INVENTARIO ENERO-MARZO 2021'!$H439-'INVENTARIO ENERO-MARZO 2021'!$I439</f>
        <v>25</v>
      </c>
      <c r="K439" s="64"/>
      <c r="L439" s="64"/>
      <c r="M439" s="64"/>
      <c r="N439" s="64"/>
      <c r="O439" s="64">
        <f>+Tabla1[[#This Row],[STOCK    FISICO ENERO 2021]]-Tabla1[[#This Row],[REQUISICIONES FEBRERO 2021]]</f>
        <v>25</v>
      </c>
      <c r="P439" s="64">
        <f>+Tabla1[[#This Row],[STOCK  FEBRERO 2021]]-Tabla1[[#This Row],[REQUISICIONES MARZO 2021]]+Tabla1[[#This Row],[ENTRADAS MARZO 2021]]</f>
        <v>25</v>
      </c>
      <c r="Q439" s="31" t="s">
        <v>12</v>
      </c>
      <c r="R439" s="35">
        <v>30.5</v>
      </c>
      <c r="S439" s="36">
        <f t="shared" si="17"/>
        <v>35.99</v>
      </c>
      <c r="T439" s="100">
        <f>Tabla1[[#This Row],[STOCK MARZO ]]*Tabla1[[#This Row],[COSTO UNITARIO SIN ITBIS]]</f>
        <v>762.5</v>
      </c>
    </row>
    <row r="440" spans="1:20" s="9" customFormat="1" x14ac:dyDescent="0.25">
      <c r="A440" s="97">
        <v>40</v>
      </c>
      <c r="B440" s="76">
        <v>43223</v>
      </c>
      <c r="C440" s="14" t="s">
        <v>11</v>
      </c>
      <c r="D440" s="76">
        <v>43223</v>
      </c>
      <c r="E440" s="156"/>
      <c r="F440" s="14">
        <v>1659</v>
      </c>
      <c r="G440" s="77" t="s">
        <v>394</v>
      </c>
      <c r="H440" s="74">
        <v>9</v>
      </c>
      <c r="I440" s="74"/>
      <c r="J440" s="74">
        <f>+'INVENTARIO ENERO-MARZO 2021'!$H440-'INVENTARIO ENERO-MARZO 2021'!$I440</f>
        <v>9</v>
      </c>
      <c r="K440" s="74"/>
      <c r="L440" s="74"/>
      <c r="M440" s="74"/>
      <c r="N440" s="74"/>
      <c r="O440" s="74">
        <f>+Tabla1[[#This Row],[STOCK    FISICO ENERO 2021]]-Tabla1[[#This Row],[REQUISICIONES FEBRERO 2021]]</f>
        <v>9</v>
      </c>
      <c r="P440" s="74">
        <f>+Tabla1[[#This Row],[STOCK  FEBRERO 2021]]-Tabla1[[#This Row],[REQUISICIONES MARZO 2021]]+Tabla1[[#This Row],[ENTRADAS MARZO 2021]]</f>
        <v>9</v>
      </c>
      <c r="Q440" s="75" t="s">
        <v>12</v>
      </c>
      <c r="R440" s="78">
        <v>79.319999999999993</v>
      </c>
      <c r="S440" s="36">
        <f t="shared" si="17"/>
        <v>93.597599999999986</v>
      </c>
      <c r="T440" s="100">
        <f>Tabla1[[#This Row],[STOCK MARZO ]]*Tabla1[[#This Row],[COSTO UNITARIO SIN ITBIS]]</f>
        <v>713.87999999999988</v>
      </c>
    </row>
    <row r="441" spans="1:20" s="9" customFormat="1" x14ac:dyDescent="0.25">
      <c r="A441" s="97">
        <v>41</v>
      </c>
      <c r="B441" s="32">
        <v>43089</v>
      </c>
      <c r="C441" s="29" t="s">
        <v>11</v>
      </c>
      <c r="D441" s="32">
        <v>43089</v>
      </c>
      <c r="E441" s="148"/>
      <c r="F441" s="29">
        <v>1657</v>
      </c>
      <c r="G441" s="33" t="s">
        <v>395</v>
      </c>
      <c r="H441" s="64">
        <v>19</v>
      </c>
      <c r="I441" s="64"/>
      <c r="J441" s="64">
        <f>+'INVENTARIO ENERO-MARZO 2021'!$H441-'INVENTARIO ENERO-MARZO 2021'!$I441</f>
        <v>19</v>
      </c>
      <c r="K441" s="64"/>
      <c r="L441" s="64"/>
      <c r="M441" s="64">
        <f>8+2+1</f>
        <v>11</v>
      </c>
      <c r="N441" s="64">
        <v>1</v>
      </c>
      <c r="O441" s="64">
        <f>+Tabla1[[#This Row],[STOCK    FISICO ENERO 2021]]-Tabla1[[#This Row],[REQUISICIONES FEBRERO 2021]]</f>
        <v>8</v>
      </c>
      <c r="P441" s="64">
        <f>+Tabla1[[#This Row],[STOCK  FEBRERO 2021]]-Tabla1[[#This Row],[REQUISICIONES MARZO 2021]]+Tabla1[[#This Row],[ENTRADAS MARZO 2021]]</f>
        <v>7</v>
      </c>
      <c r="Q441" s="31" t="s">
        <v>12</v>
      </c>
      <c r="R441" s="35">
        <v>12.2</v>
      </c>
      <c r="S441" s="36">
        <f t="shared" si="17"/>
        <v>14.395999999999999</v>
      </c>
      <c r="T441" s="100">
        <f>Tabla1[[#This Row],[STOCK MARZO ]]*Tabla1[[#This Row],[COSTO UNITARIO SIN ITBIS]]</f>
        <v>85.399999999999991</v>
      </c>
    </row>
    <row r="442" spans="1:20" s="9" customFormat="1" x14ac:dyDescent="0.25">
      <c r="A442" s="97">
        <v>42</v>
      </c>
      <c r="B442" s="76">
        <v>44026</v>
      </c>
      <c r="C442" s="14" t="s">
        <v>11</v>
      </c>
      <c r="D442" s="76">
        <v>44026</v>
      </c>
      <c r="E442" s="156"/>
      <c r="F442" s="14">
        <v>1069</v>
      </c>
      <c r="G442" s="77" t="s">
        <v>396</v>
      </c>
      <c r="H442" s="74">
        <v>0</v>
      </c>
      <c r="I442" s="74"/>
      <c r="J442" s="74">
        <f>+'INVENTARIO ENERO-MARZO 2021'!$H442-'INVENTARIO ENERO-MARZO 2021'!$I442</f>
        <v>0</v>
      </c>
      <c r="K442" s="74"/>
      <c r="L442" s="74"/>
      <c r="M442" s="74"/>
      <c r="N442" s="74"/>
      <c r="O442" s="74">
        <f>+Tabla1[[#This Row],[STOCK    FISICO ENERO 2021]]-Tabla1[[#This Row],[REQUISICIONES FEBRERO 2021]]</f>
        <v>0</v>
      </c>
      <c r="P442" s="74">
        <f>+Tabla1[[#This Row],[STOCK  FEBRERO 2021]]-Tabla1[[#This Row],[REQUISICIONES MARZO 2021]]+Tabla1[[#This Row],[ENTRADAS MARZO 2021]]</f>
        <v>0</v>
      </c>
      <c r="Q442" s="75" t="s">
        <v>12</v>
      </c>
      <c r="R442" s="78">
        <v>65</v>
      </c>
      <c r="S442" s="36">
        <f t="shared" si="17"/>
        <v>76.7</v>
      </c>
      <c r="T442" s="100">
        <f>Tabla1[[#This Row],[STOCK MARZO ]]*Tabla1[[#This Row],[COSTO UNITARIO SIN ITBIS]]</f>
        <v>0</v>
      </c>
    </row>
    <row r="443" spans="1:20" s="9" customFormat="1" x14ac:dyDescent="0.25">
      <c r="A443" s="97">
        <v>43</v>
      </c>
      <c r="B443" s="32">
        <v>44168</v>
      </c>
      <c r="C443" s="29" t="s">
        <v>11</v>
      </c>
      <c r="D443" s="32">
        <v>44153</v>
      </c>
      <c r="E443" s="148"/>
      <c r="F443" s="14">
        <v>1711</v>
      </c>
      <c r="G443" s="77" t="s">
        <v>397</v>
      </c>
      <c r="H443" s="74">
        <f>99+1</f>
        <v>100</v>
      </c>
      <c r="I443" s="74"/>
      <c r="J443" s="74">
        <f>+'INVENTARIO ENERO-MARZO 2021'!$H443-'INVENTARIO ENERO-MARZO 2021'!$I443</f>
        <v>100</v>
      </c>
      <c r="K443" s="74"/>
      <c r="L443" s="74"/>
      <c r="M443" s="74"/>
      <c r="N443" s="74"/>
      <c r="O443" s="74">
        <f>+Tabla1[[#This Row],[STOCK    FISICO ENERO 2021]]-Tabla1[[#This Row],[REQUISICIONES FEBRERO 2021]]</f>
        <v>100</v>
      </c>
      <c r="P443" s="74">
        <f>+Tabla1[[#This Row],[STOCK  FEBRERO 2021]]-Tabla1[[#This Row],[REQUISICIONES MARZO 2021]]+Tabla1[[#This Row],[ENTRADAS MARZO 2021]]</f>
        <v>100</v>
      </c>
      <c r="Q443" s="75" t="s">
        <v>12</v>
      </c>
      <c r="R443" s="78">
        <v>9.15</v>
      </c>
      <c r="S443" s="36">
        <f t="shared" si="17"/>
        <v>10.797000000000001</v>
      </c>
      <c r="T443" s="100">
        <f>Tabla1[[#This Row],[STOCK MARZO ]]*Tabla1[[#This Row],[COSTO UNITARIO SIN ITBIS]]</f>
        <v>915</v>
      </c>
    </row>
    <row r="444" spans="1:20" s="9" customFormat="1" x14ac:dyDescent="0.25">
      <c r="A444" s="97">
        <v>44</v>
      </c>
      <c r="B444" s="76">
        <v>44168</v>
      </c>
      <c r="C444" s="14" t="s">
        <v>11</v>
      </c>
      <c r="D444" s="76">
        <v>44153</v>
      </c>
      <c r="E444" s="156"/>
      <c r="F444" s="29">
        <v>1709</v>
      </c>
      <c r="G444" s="33" t="s">
        <v>398</v>
      </c>
      <c r="H444" s="64">
        <v>92</v>
      </c>
      <c r="I444" s="64">
        <v>2</v>
      </c>
      <c r="J444" s="64">
        <f>+'INVENTARIO ENERO-MARZO 2021'!$H444-'INVENTARIO ENERO-MARZO 2021'!$I444</f>
        <v>90</v>
      </c>
      <c r="K444" s="64"/>
      <c r="L444" s="64"/>
      <c r="M444" s="64"/>
      <c r="N444" s="64">
        <f>1+2+2</f>
        <v>5</v>
      </c>
      <c r="O444" s="64">
        <f>+Tabla1[[#This Row],[STOCK    FISICO ENERO 2021]]-Tabla1[[#This Row],[REQUISICIONES FEBRERO 2021]]</f>
        <v>90</v>
      </c>
      <c r="P444" s="64">
        <f>+Tabla1[[#This Row],[STOCK  FEBRERO 2021]]-Tabla1[[#This Row],[REQUISICIONES MARZO 2021]]+Tabla1[[#This Row],[ENTRADAS MARZO 2021]]</f>
        <v>85</v>
      </c>
      <c r="Q444" s="31" t="s">
        <v>12</v>
      </c>
      <c r="R444" s="35">
        <v>6.1</v>
      </c>
      <c r="S444" s="36">
        <f t="shared" si="17"/>
        <v>7.1979999999999995</v>
      </c>
      <c r="T444" s="100">
        <f>Tabla1[[#This Row],[STOCK MARZO ]]*Tabla1[[#This Row],[COSTO UNITARIO SIN ITBIS]]</f>
        <v>518.5</v>
      </c>
    </row>
    <row r="445" spans="1:20" s="9" customFormat="1" x14ac:dyDescent="0.25">
      <c r="A445" s="97">
        <v>45</v>
      </c>
      <c r="B445" s="32">
        <v>44168</v>
      </c>
      <c r="C445" s="29" t="s">
        <v>11</v>
      </c>
      <c r="D445" s="32">
        <v>44153</v>
      </c>
      <c r="E445" s="148"/>
      <c r="F445" s="14">
        <v>1712</v>
      </c>
      <c r="G445" s="77" t="s">
        <v>399</v>
      </c>
      <c r="H445" s="74">
        <v>110</v>
      </c>
      <c r="I445" s="74"/>
      <c r="J445" s="74">
        <f>+'INVENTARIO ENERO-MARZO 2021'!$H445-'INVENTARIO ENERO-MARZO 2021'!$I445</f>
        <v>110</v>
      </c>
      <c r="K445" s="74"/>
      <c r="L445" s="74"/>
      <c r="M445" s="74"/>
      <c r="N445" s="74"/>
      <c r="O445" s="74">
        <f>+Tabla1[[#This Row],[STOCK    FISICO ENERO 2021]]-Tabla1[[#This Row],[REQUISICIONES FEBRERO 2021]]</f>
        <v>110</v>
      </c>
      <c r="P445" s="74">
        <f>+Tabla1[[#This Row],[STOCK  FEBRERO 2021]]-Tabla1[[#This Row],[REQUISICIONES MARZO 2021]]+Tabla1[[#This Row],[ENTRADAS MARZO 2021]]</f>
        <v>110</v>
      </c>
      <c r="Q445" s="75" t="s">
        <v>12</v>
      </c>
      <c r="R445" s="78">
        <v>25.42</v>
      </c>
      <c r="S445" s="36">
        <f t="shared" si="17"/>
        <v>29.995600000000003</v>
      </c>
      <c r="T445" s="100">
        <f>Tabla1[[#This Row],[STOCK MARZO ]]*Tabla1[[#This Row],[COSTO UNITARIO SIN ITBIS]]</f>
        <v>2796.2000000000003</v>
      </c>
    </row>
    <row r="446" spans="1:20" s="9" customFormat="1" x14ac:dyDescent="0.25">
      <c r="A446" s="97">
        <v>46</v>
      </c>
      <c r="B446" s="76">
        <v>44026</v>
      </c>
      <c r="C446" s="14" t="s">
        <v>11</v>
      </c>
      <c r="D446" s="76">
        <v>44026</v>
      </c>
      <c r="E446" s="156"/>
      <c r="F446" s="29">
        <v>1713</v>
      </c>
      <c r="G446" s="33" t="s">
        <v>400</v>
      </c>
      <c r="H446" s="64">
        <v>9</v>
      </c>
      <c r="I446" s="64"/>
      <c r="J446" s="64">
        <f>+'INVENTARIO ENERO-MARZO 2021'!$H446-'INVENTARIO ENERO-MARZO 2021'!$I446</f>
        <v>9</v>
      </c>
      <c r="K446" s="64"/>
      <c r="L446" s="64"/>
      <c r="M446" s="64"/>
      <c r="N446" s="64"/>
      <c r="O446" s="64">
        <f>+Tabla1[[#This Row],[STOCK    FISICO ENERO 2021]]-Tabla1[[#This Row],[REQUISICIONES FEBRERO 2021]]</f>
        <v>9</v>
      </c>
      <c r="P446" s="64">
        <f>+Tabla1[[#This Row],[STOCK  FEBRERO 2021]]-Tabla1[[#This Row],[REQUISICIONES MARZO 2021]]+Tabla1[[#This Row],[ENTRADAS MARZO 2021]]</f>
        <v>9</v>
      </c>
      <c r="Q446" s="31" t="s">
        <v>12</v>
      </c>
      <c r="R446" s="35">
        <v>78.31</v>
      </c>
      <c r="S446" s="36">
        <f t="shared" si="17"/>
        <v>92.405799999999999</v>
      </c>
      <c r="T446" s="100">
        <f>Tabla1[[#This Row],[STOCK MARZO ]]*Tabla1[[#This Row],[COSTO UNITARIO SIN ITBIS]]</f>
        <v>704.79</v>
      </c>
    </row>
    <row r="447" spans="1:20" s="9" customFormat="1" x14ac:dyDescent="0.25">
      <c r="A447" s="97">
        <v>47</v>
      </c>
      <c r="B447" s="32">
        <v>44168</v>
      </c>
      <c r="C447" s="29" t="s">
        <v>11</v>
      </c>
      <c r="D447" s="32">
        <v>44154</v>
      </c>
      <c r="E447" s="148"/>
      <c r="F447" s="14">
        <v>1710</v>
      </c>
      <c r="G447" s="77" t="s">
        <v>401</v>
      </c>
      <c r="H447" s="74">
        <v>88</v>
      </c>
      <c r="I447" s="74">
        <v>3</v>
      </c>
      <c r="J447" s="74">
        <f>+'INVENTARIO ENERO-MARZO 2021'!$H447-'INVENTARIO ENERO-MARZO 2021'!$I447</f>
        <v>85</v>
      </c>
      <c r="K447" s="74"/>
      <c r="L447" s="74"/>
      <c r="M447" s="74">
        <f>1+1</f>
        <v>2</v>
      </c>
      <c r="N447" s="74"/>
      <c r="O447" s="74">
        <f>+Tabla1[[#This Row],[STOCK    FISICO ENERO 2021]]-Tabla1[[#This Row],[REQUISICIONES FEBRERO 2021]]</f>
        <v>83</v>
      </c>
      <c r="P447" s="74">
        <f>+Tabla1[[#This Row],[STOCK  FEBRERO 2021]]-Tabla1[[#This Row],[REQUISICIONES MARZO 2021]]+Tabla1[[#This Row],[ENTRADAS MARZO 2021]]</f>
        <v>83</v>
      </c>
      <c r="Q447" s="75" t="s">
        <v>12</v>
      </c>
      <c r="R447" s="78">
        <v>6.1</v>
      </c>
      <c r="S447" s="36">
        <f t="shared" si="17"/>
        <v>7.1979999999999995</v>
      </c>
      <c r="T447" s="100">
        <f>Tabla1[[#This Row],[STOCK MARZO ]]*Tabla1[[#This Row],[COSTO UNITARIO SIN ITBIS]]</f>
        <v>506.29999999999995</v>
      </c>
    </row>
    <row r="448" spans="1:20" s="9" customFormat="1" x14ac:dyDescent="0.25">
      <c r="A448" s="97">
        <v>48</v>
      </c>
      <c r="B448" s="76">
        <v>43089</v>
      </c>
      <c r="C448" s="14" t="s">
        <v>11</v>
      </c>
      <c r="D448" s="76">
        <v>43089</v>
      </c>
      <c r="E448" s="156"/>
      <c r="F448" s="29">
        <v>1714</v>
      </c>
      <c r="G448" s="33" t="s">
        <v>402</v>
      </c>
      <c r="H448" s="64">
        <f>8+2</f>
        <v>10</v>
      </c>
      <c r="I448" s="64"/>
      <c r="J448" s="64">
        <f>+'INVENTARIO ENERO-MARZO 2021'!$H448-'INVENTARIO ENERO-MARZO 2021'!$I448</f>
        <v>10</v>
      </c>
      <c r="K448" s="64"/>
      <c r="L448" s="64"/>
      <c r="M448" s="64"/>
      <c r="N448" s="64"/>
      <c r="O448" s="64">
        <f>+Tabla1[[#This Row],[STOCK    FISICO ENERO 2021]]-Tabla1[[#This Row],[REQUISICIONES FEBRERO 2021]]</f>
        <v>10</v>
      </c>
      <c r="P448" s="64">
        <f>+Tabla1[[#This Row],[STOCK  FEBRERO 2021]]-Tabla1[[#This Row],[REQUISICIONES MARZO 2021]]+Tabla1[[#This Row],[ENTRADAS MARZO 2021]]</f>
        <v>10</v>
      </c>
      <c r="Q448" s="31" t="s">
        <v>12</v>
      </c>
      <c r="R448" s="35">
        <v>115.93</v>
      </c>
      <c r="S448" s="36">
        <f t="shared" si="17"/>
        <v>136.79740000000001</v>
      </c>
      <c r="T448" s="100">
        <f>Tabla1[[#This Row],[STOCK MARZO ]]*Tabla1[[#This Row],[COSTO UNITARIO SIN ITBIS]]</f>
        <v>1159.3000000000002</v>
      </c>
    </row>
    <row r="449" spans="1:20" s="9" customFormat="1" x14ac:dyDescent="0.25">
      <c r="A449" s="97">
        <v>49</v>
      </c>
      <c r="B449" s="76">
        <v>44027</v>
      </c>
      <c r="C449" s="14" t="s">
        <v>11</v>
      </c>
      <c r="D449" s="76">
        <v>44027</v>
      </c>
      <c r="E449" s="156"/>
      <c r="F449" s="14">
        <v>1804</v>
      </c>
      <c r="G449" s="77" t="s">
        <v>403</v>
      </c>
      <c r="H449" s="74">
        <v>0</v>
      </c>
      <c r="I449" s="74"/>
      <c r="J449" s="74">
        <f>+'INVENTARIO ENERO-MARZO 2021'!$H449-'INVENTARIO ENERO-MARZO 2021'!$I449</f>
        <v>0</v>
      </c>
      <c r="K449" s="74"/>
      <c r="L449" s="74"/>
      <c r="M449" s="74"/>
      <c r="N449" s="74"/>
      <c r="O449" s="74">
        <f>+Tabla1[[#This Row],[STOCK    FISICO ENERO 2021]]-Tabla1[[#This Row],[REQUISICIONES FEBRERO 2021]]</f>
        <v>0</v>
      </c>
      <c r="P449" s="74">
        <f>+Tabla1[[#This Row],[STOCK  FEBRERO 2021]]-Tabla1[[#This Row],[REQUISICIONES MARZO 2021]]+Tabla1[[#This Row],[ENTRADAS MARZO 2021]]</f>
        <v>0</v>
      </c>
      <c r="Q449" s="75" t="s">
        <v>112</v>
      </c>
      <c r="R449" s="78">
        <v>334.8</v>
      </c>
      <c r="S449" s="36">
        <f t="shared" si="17"/>
        <v>395.06400000000002</v>
      </c>
      <c r="T449" s="100">
        <f>Tabla1[[#This Row],[STOCK MARZO ]]*Tabla1[[#This Row],[COSTO UNITARIO SIN ITBIS]]</f>
        <v>0</v>
      </c>
    </row>
    <row r="450" spans="1:20" s="9" customFormat="1" x14ac:dyDescent="0.25">
      <c r="A450" s="97">
        <v>50</v>
      </c>
      <c r="B450" s="32">
        <v>44027</v>
      </c>
      <c r="C450" s="29" t="s">
        <v>11</v>
      </c>
      <c r="D450" s="32">
        <v>44027</v>
      </c>
      <c r="E450" s="148"/>
      <c r="F450" s="29">
        <v>1723</v>
      </c>
      <c r="G450" s="33" t="s">
        <v>686</v>
      </c>
      <c r="H450" s="64">
        <v>50</v>
      </c>
      <c r="I450" s="64"/>
      <c r="J450" s="64">
        <f>+'INVENTARIO ENERO-MARZO 2021'!$H450-'INVENTARIO ENERO-MARZO 2021'!$I450</f>
        <v>50</v>
      </c>
      <c r="K450" s="64"/>
      <c r="L450" s="64"/>
      <c r="M450" s="64"/>
      <c r="N450" s="64"/>
      <c r="O450" s="64">
        <f>+Tabla1[[#This Row],[STOCK    FISICO ENERO 2021]]-Tabla1[[#This Row],[REQUISICIONES FEBRERO 2021]]</f>
        <v>50</v>
      </c>
      <c r="P450" s="64">
        <f>+Tabla1[[#This Row],[STOCK  FEBRERO 2021]]-Tabla1[[#This Row],[REQUISICIONES MARZO 2021]]+Tabla1[[#This Row],[ENTRADAS MARZO 2021]]</f>
        <v>50</v>
      </c>
      <c r="Q450" s="31" t="s">
        <v>12</v>
      </c>
      <c r="R450" s="35">
        <v>9</v>
      </c>
      <c r="S450" s="36">
        <f t="shared" si="17"/>
        <v>10.62</v>
      </c>
      <c r="T450" s="100">
        <f>Tabla1[[#This Row],[STOCK MARZO ]]*Tabla1[[#This Row],[COSTO UNITARIO SIN ITBIS]]</f>
        <v>450</v>
      </c>
    </row>
    <row r="451" spans="1:20" s="9" customFormat="1" x14ac:dyDescent="0.25">
      <c r="A451" s="97">
        <v>51</v>
      </c>
      <c r="B451" s="76">
        <v>44027</v>
      </c>
      <c r="C451" s="14" t="s">
        <v>11</v>
      </c>
      <c r="D451" s="76">
        <v>44027</v>
      </c>
      <c r="E451" s="156"/>
      <c r="F451" s="14">
        <v>1724</v>
      </c>
      <c r="G451" s="77" t="s">
        <v>687</v>
      </c>
      <c r="H451" s="74">
        <v>50</v>
      </c>
      <c r="I451" s="74"/>
      <c r="J451" s="74">
        <f>+'INVENTARIO ENERO-MARZO 2021'!$H451-'INVENTARIO ENERO-MARZO 2021'!$I451</f>
        <v>50</v>
      </c>
      <c r="K451" s="74"/>
      <c r="L451" s="74"/>
      <c r="M451" s="74"/>
      <c r="N451" s="74"/>
      <c r="O451" s="74">
        <f>+Tabla1[[#This Row],[STOCK    FISICO ENERO 2021]]-Tabla1[[#This Row],[REQUISICIONES FEBRERO 2021]]</f>
        <v>50</v>
      </c>
      <c r="P451" s="74">
        <f>+Tabla1[[#This Row],[STOCK  FEBRERO 2021]]-Tabla1[[#This Row],[REQUISICIONES MARZO 2021]]+Tabla1[[#This Row],[ENTRADAS MARZO 2021]]</f>
        <v>50</v>
      </c>
      <c r="Q451" s="75" t="s">
        <v>12</v>
      </c>
      <c r="R451" s="78">
        <v>9</v>
      </c>
      <c r="S451" s="36">
        <f t="shared" si="17"/>
        <v>10.62</v>
      </c>
      <c r="T451" s="100">
        <f>Tabla1[[#This Row],[STOCK MARZO ]]*Tabla1[[#This Row],[COSTO UNITARIO SIN ITBIS]]</f>
        <v>450</v>
      </c>
    </row>
    <row r="452" spans="1:20" s="9" customFormat="1" x14ac:dyDescent="0.25">
      <c r="A452" s="97">
        <v>52</v>
      </c>
      <c r="B452" s="32">
        <v>44027</v>
      </c>
      <c r="C452" s="29" t="s">
        <v>11</v>
      </c>
      <c r="D452" s="32">
        <v>44027</v>
      </c>
      <c r="E452" s="148"/>
      <c r="F452" s="29" t="s">
        <v>23</v>
      </c>
      <c r="G452" s="33" t="s">
        <v>404</v>
      </c>
      <c r="H452" s="64">
        <v>0</v>
      </c>
      <c r="I452" s="64"/>
      <c r="J452" s="64">
        <f>+'INVENTARIO ENERO-MARZO 2021'!$H452-'INVENTARIO ENERO-MARZO 2021'!$I452</f>
        <v>0</v>
      </c>
      <c r="K452" s="64"/>
      <c r="L452" s="64"/>
      <c r="M452" s="64"/>
      <c r="N452" s="64"/>
      <c r="O452" s="64">
        <f>+Tabla1[[#This Row],[STOCK    FISICO ENERO 2021]]-Tabla1[[#This Row],[REQUISICIONES FEBRERO 2021]]</f>
        <v>0</v>
      </c>
      <c r="P452" s="64">
        <f>+Tabla1[[#This Row],[STOCK  FEBRERO 2021]]-Tabla1[[#This Row],[REQUISICIONES MARZO 2021]]+Tabla1[[#This Row],[ENTRADAS MARZO 2021]]</f>
        <v>0</v>
      </c>
      <c r="Q452" s="31" t="s">
        <v>12</v>
      </c>
      <c r="R452" s="35">
        <v>0</v>
      </c>
      <c r="S452" s="36">
        <f t="shared" si="17"/>
        <v>0</v>
      </c>
      <c r="T452" s="100">
        <f>Tabla1[[#This Row],[STOCK MARZO ]]*Tabla1[[#This Row],[COSTO UNITARIO SIN ITBIS]]</f>
        <v>0</v>
      </c>
    </row>
    <row r="453" spans="1:20" s="9" customFormat="1" x14ac:dyDescent="0.25">
      <c r="A453" s="97">
        <v>53</v>
      </c>
      <c r="B453" s="76">
        <v>44027</v>
      </c>
      <c r="C453" s="14" t="s">
        <v>11</v>
      </c>
      <c r="D453" s="76">
        <v>44027</v>
      </c>
      <c r="E453" s="156"/>
      <c r="F453" s="14">
        <v>1504</v>
      </c>
      <c r="G453" s="77" t="s">
        <v>405</v>
      </c>
      <c r="H453" s="74">
        <v>0</v>
      </c>
      <c r="I453" s="74"/>
      <c r="J453" s="74">
        <f>+'INVENTARIO ENERO-MARZO 2021'!$H453-'INVENTARIO ENERO-MARZO 2021'!$I453</f>
        <v>0</v>
      </c>
      <c r="K453" s="74"/>
      <c r="L453" s="74"/>
      <c r="M453" s="74"/>
      <c r="N453" s="74"/>
      <c r="O453" s="74">
        <f>+Tabla1[[#This Row],[STOCK    FISICO ENERO 2021]]-Tabla1[[#This Row],[REQUISICIONES FEBRERO 2021]]</f>
        <v>0</v>
      </c>
      <c r="P453" s="74">
        <f>+Tabla1[[#This Row],[STOCK  FEBRERO 2021]]-Tabla1[[#This Row],[REQUISICIONES MARZO 2021]]+Tabla1[[#This Row],[ENTRADAS MARZO 2021]]</f>
        <v>0</v>
      </c>
      <c r="Q453" s="75" t="s">
        <v>12</v>
      </c>
      <c r="R453" s="78">
        <v>5.38</v>
      </c>
      <c r="S453" s="36">
        <f t="shared" si="17"/>
        <v>6.3483999999999998</v>
      </c>
      <c r="T453" s="100">
        <f>Tabla1[[#This Row],[STOCK MARZO ]]*Tabla1[[#This Row],[COSTO UNITARIO SIN ITBIS]]</f>
        <v>0</v>
      </c>
    </row>
    <row r="454" spans="1:20" s="9" customFormat="1" x14ac:dyDescent="0.25">
      <c r="A454" s="97">
        <v>54</v>
      </c>
      <c r="B454" s="32">
        <v>44027</v>
      </c>
      <c r="C454" s="29" t="s">
        <v>11</v>
      </c>
      <c r="D454" s="32">
        <v>44027</v>
      </c>
      <c r="E454" s="148"/>
      <c r="F454" s="29">
        <v>1449</v>
      </c>
      <c r="G454" s="33" t="s">
        <v>406</v>
      </c>
      <c r="H454" s="64">
        <v>0</v>
      </c>
      <c r="I454" s="64"/>
      <c r="J454" s="64">
        <f>+'INVENTARIO ENERO-MARZO 2021'!$H454-'INVENTARIO ENERO-MARZO 2021'!$I454</f>
        <v>0</v>
      </c>
      <c r="K454" s="64"/>
      <c r="L454" s="64"/>
      <c r="M454" s="64"/>
      <c r="N454" s="64"/>
      <c r="O454" s="64">
        <f>+Tabla1[[#This Row],[STOCK    FISICO ENERO 2021]]-Tabla1[[#This Row],[REQUISICIONES FEBRERO 2021]]</f>
        <v>0</v>
      </c>
      <c r="P454" s="64">
        <f>+Tabla1[[#This Row],[STOCK  FEBRERO 2021]]-Tabla1[[#This Row],[REQUISICIONES MARZO 2021]]+Tabla1[[#This Row],[ENTRADAS MARZO 2021]]</f>
        <v>0</v>
      </c>
      <c r="Q454" s="31" t="s">
        <v>12</v>
      </c>
      <c r="R454" s="35">
        <v>5.38</v>
      </c>
      <c r="S454" s="36">
        <f t="shared" si="17"/>
        <v>6.3483999999999998</v>
      </c>
      <c r="T454" s="100">
        <f>Tabla1[[#This Row],[STOCK MARZO ]]*Tabla1[[#This Row],[COSTO UNITARIO SIN ITBIS]]</f>
        <v>0</v>
      </c>
    </row>
    <row r="455" spans="1:20" s="9" customFormat="1" x14ac:dyDescent="0.25">
      <c r="A455" s="97">
        <v>55</v>
      </c>
      <c r="B455" s="76">
        <v>44028</v>
      </c>
      <c r="C455" s="14" t="s">
        <v>11</v>
      </c>
      <c r="D455" s="76">
        <v>44028</v>
      </c>
      <c r="E455" s="156"/>
      <c r="F455" s="14" t="s">
        <v>23</v>
      </c>
      <c r="G455" s="77" t="s">
        <v>407</v>
      </c>
      <c r="H455" s="74">
        <v>6</v>
      </c>
      <c r="I455" s="74"/>
      <c r="J455" s="74">
        <f>+'INVENTARIO ENERO-MARZO 2021'!$H455-'INVENTARIO ENERO-MARZO 2021'!$I455</f>
        <v>6</v>
      </c>
      <c r="K455" s="74"/>
      <c r="L455" s="74"/>
      <c r="M455" s="74"/>
      <c r="N455" s="74"/>
      <c r="O455" s="74">
        <f>+Tabla1[[#This Row],[STOCK    FISICO ENERO 2021]]-Tabla1[[#This Row],[REQUISICIONES FEBRERO 2021]]</f>
        <v>6</v>
      </c>
      <c r="P455" s="74">
        <f>+Tabla1[[#This Row],[STOCK  FEBRERO 2021]]-Tabla1[[#This Row],[REQUISICIONES MARZO 2021]]+Tabla1[[#This Row],[ENTRADAS MARZO 2021]]</f>
        <v>6</v>
      </c>
      <c r="Q455" s="75" t="s">
        <v>12</v>
      </c>
      <c r="R455" s="78">
        <v>3318.86</v>
      </c>
      <c r="S455" s="36">
        <f t="shared" si="17"/>
        <v>3916.2548000000002</v>
      </c>
      <c r="T455" s="100">
        <f>Tabla1[[#This Row],[STOCK MARZO ]]*Tabla1[[#This Row],[COSTO UNITARIO SIN ITBIS]]</f>
        <v>19913.16</v>
      </c>
    </row>
    <row r="456" spans="1:20" s="9" customFormat="1" x14ac:dyDescent="0.25">
      <c r="A456" s="97">
        <v>56</v>
      </c>
      <c r="B456" s="32">
        <v>44027</v>
      </c>
      <c r="C456" s="29" t="s">
        <v>11</v>
      </c>
      <c r="D456" s="32">
        <v>44027</v>
      </c>
      <c r="E456" s="148"/>
      <c r="F456" s="29">
        <v>1104</v>
      </c>
      <c r="G456" s="33" t="s">
        <v>408</v>
      </c>
      <c r="H456" s="64">
        <v>47</v>
      </c>
      <c r="I456" s="64"/>
      <c r="J456" s="64">
        <f>+'INVENTARIO ENERO-MARZO 2021'!$H456-'INVENTARIO ENERO-MARZO 2021'!$I456</f>
        <v>47</v>
      </c>
      <c r="K456" s="64"/>
      <c r="L456" s="64"/>
      <c r="M456" s="64"/>
      <c r="N456" s="64">
        <v>1</v>
      </c>
      <c r="O456" s="64">
        <f>+Tabla1[[#This Row],[STOCK    FISICO ENERO 2021]]-Tabla1[[#This Row],[REQUISICIONES FEBRERO 2021]]</f>
        <v>47</v>
      </c>
      <c r="P456" s="64">
        <f>+Tabla1[[#This Row],[STOCK  FEBRERO 2021]]-Tabla1[[#This Row],[REQUISICIONES MARZO 2021]]+Tabla1[[#This Row],[ENTRADAS MARZO 2021]]</f>
        <v>46</v>
      </c>
      <c r="Q456" s="31" t="s">
        <v>12</v>
      </c>
      <c r="R456" s="35">
        <v>0</v>
      </c>
      <c r="S456" s="36">
        <f t="shared" si="17"/>
        <v>0</v>
      </c>
      <c r="T456" s="100">
        <f>Tabla1[[#This Row],[STOCK MARZO ]]*Tabla1[[#This Row],[COSTO UNITARIO SIN ITBIS]]</f>
        <v>0</v>
      </c>
    </row>
    <row r="457" spans="1:20" s="9" customFormat="1" x14ac:dyDescent="0.25">
      <c r="A457" s="97">
        <v>57</v>
      </c>
      <c r="B457" s="76">
        <v>44027</v>
      </c>
      <c r="C457" s="14" t="s">
        <v>11</v>
      </c>
      <c r="D457" s="76">
        <v>44027</v>
      </c>
      <c r="E457" s="156"/>
      <c r="F457" s="14">
        <v>1698</v>
      </c>
      <c r="G457" s="77" t="s">
        <v>409</v>
      </c>
      <c r="H457" s="74">
        <v>0</v>
      </c>
      <c r="I457" s="74"/>
      <c r="J457" s="74">
        <f>+'INVENTARIO ENERO-MARZO 2021'!$H457-'INVENTARIO ENERO-MARZO 2021'!$I457</f>
        <v>0</v>
      </c>
      <c r="K457" s="74"/>
      <c r="L457" s="74"/>
      <c r="M457" s="74"/>
      <c r="N457" s="74"/>
      <c r="O457" s="74">
        <f>+Tabla1[[#This Row],[STOCK    FISICO ENERO 2021]]-Tabla1[[#This Row],[REQUISICIONES FEBRERO 2021]]</f>
        <v>0</v>
      </c>
      <c r="P457" s="74">
        <f>+Tabla1[[#This Row],[STOCK  FEBRERO 2021]]-Tabla1[[#This Row],[REQUISICIONES MARZO 2021]]+Tabla1[[#This Row],[ENTRADAS MARZO 2021]]</f>
        <v>0</v>
      </c>
      <c r="Q457" s="75" t="s">
        <v>12</v>
      </c>
      <c r="R457" s="78">
        <v>45.77</v>
      </c>
      <c r="S457" s="36">
        <f t="shared" si="17"/>
        <v>54.008600000000001</v>
      </c>
      <c r="T457" s="100">
        <f>Tabla1[[#This Row],[STOCK MARZO ]]*Tabla1[[#This Row],[COSTO UNITARIO SIN ITBIS]]</f>
        <v>0</v>
      </c>
    </row>
    <row r="458" spans="1:20" s="9" customFormat="1" x14ac:dyDescent="0.25">
      <c r="A458" s="97">
        <v>58</v>
      </c>
      <c r="B458" s="76">
        <v>43664</v>
      </c>
      <c r="C458" s="14" t="s">
        <v>11</v>
      </c>
      <c r="D458" s="76">
        <v>43767</v>
      </c>
      <c r="E458" s="156"/>
      <c r="F458" s="14" t="s">
        <v>23</v>
      </c>
      <c r="G458" s="77" t="s">
        <v>688</v>
      </c>
      <c r="H458" s="74">
        <v>2</v>
      </c>
      <c r="I458" s="74"/>
      <c r="J458" s="74">
        <f>+'INVENTARIO ENERO-MARZO 2021'!$H458-'INVENTARIO ENERO-MARZO 2021'!$I458</f>
        <v>2</v>
      </c>
      <c r="K458" s="74"/>
      <c r="L458" s="74"/>
      <c r="M458" s="74"/>
      <c r="N458" s="74"/>
      <c r="O458" s="74">
        <f>+Tabla1[[#This Row],[STOCK    FISICO ENERO 2021]]-Tabla1[[#This Row],[REQUISICIONES FEBRERO 2021]]</f>
        <v>2</v>
      </c>
      <c r="P458" s="74">
        <f>+Tabla1[[#This Row],[STOCK  FEBRERO 2021]]-Tabla1[[#This Row],[REQUISICIONES MARZO 2021]]+Tabla1[[#This Row],[ENTRADAS MARZO 2021]]</f>
        <v>2</v>
      </c>
      <c r="Q458" s="75" t="s">
        <v>12</v>
      </c>
      <c r="R458" s="78">
        <v>0</v>
      </c>
      <c r="S458" s="36">
        <f t="shared" si="17"/>
        <v>0</v>
      </c>
      <c r="T458" s="100">
        <f>Tabla1[[#This Row],[STOCK MARZO ]]*Tabla1[[#This Row],[COSTO UNITARIO SIN ITBIS]]</f>
        <v>0</v>
      </c>
    </row>
    <row r="459" spans="1:20" s="9" customFormat="1" x14ac:dyDescent="0.25">
      <c r="A459" s="97">
        <v>59</v>
      </c>
      <c r="B459" s="32">
        <v>44109</v>
      </c>
      <c r="C459" s="29" t="s">
        <v>11</v>
      </c>
      <c r="D459" s="32">
        <v>44109</v>
      </c>
      <c r="E459" s="148"/>
      <c r="F459" s="29">
        <v>1103</v>
      </c>
      <c r="G459" s="33" t="s">
        <v>410</v>
      </c>
      <c r="H459" s="64">
        <v>5</v>
      </c>
      <c r="I459" s="64"/>
      <c r="J459" s="64">
        <f>+'INVENTARIO ENERO-MARZO 2021'!$H459-'INVENTARIO ENERO-MARZO 2021'!$I459</f>
        <v>5</v>
      </c>
      <c r="K459" s="64"/>
      <c r="L459" s="64"/>
      <c r="M459" s="64"/>
      <c r="N459" s="64"/>
      <c r="O459" s="64">
        <f>+Tabla1[[#This Row],[STOCK    FISICO ENERO 2021]]-Tabla1[[#This Row],[REQUISICIONES FEBRERO 2021]]</f>
        <v>5</v>
      </c>
      <c r="P459" s="64">
        <f>+Tabla1[[#This Row],[STOCK  FEBRERO 2021]]-Tabla1[[#This Row],[REQUISICIONES MARZO 2021]]+Tabla1[[#This Row],[ENTRADAS MARZO 2021]]</f>
        <v>5</v>
      </c>
      <c r="Q459" s="31" t="s">
        <v>12</v>
      </c>
      <c r="R459" s="35">
        <v>0</v>
      </c>
      <c r="S459" s="36">
        <f t="shared" si="17"/>
        <v>0</v>
      </c>
      <c r="T459" s="100">
        <f>Tabla1[[#This Row],[STOCK MARZO ]]*Tabla1[[#This Row],[COSTO UNITARIO SIN ITBIS]]</f>
        <v>0</v>
      </c>
    </row>
    <row r="460" spans="1:20" s="9" customFormat="1" x14ac:dyDescent="0.25">
      <c r="A460" s="97">
        <v>60</v>
      </c>
      <c r="B460" s="32">
        <v>43453</v>
      </c>
      <c r="C460" s="29" t="s">
        <v>11</v>
      </c>
      <c r="D460" s="32">
        <v>43453</v>
      </c>
      <c r="E460" s="148"/>
      <c r="F460" s="29">
        <v>1102</v>
      </c>
      <c r="G460" s="33" t="s">
        <v>411</v>
      </c>
      <c r="H460" s="64">
        <v>4</v>
      </c>
      <c r="I460" s="64"/>
      <c r="J460" s="64">
        <f>+'INVENTARIO ENERO-MARZO 2021'!$H460-'INVENTARIO ENERO-MARZO 2021'!$I460</f>
        <v>4</v>
      </c>
      <c r="K460" s="64"/>
      <c r="L460" s="64"/>
      <c r="M460" s="64"/>
      <c r="N460" s="64"/>
      <c r="O460" s="64">
        <f>+Tabla1[[#This Row],[STOCK    FISICO ENERO 2021]]-Tabla1[[#This Row],[REQUISICIONES FEBRERO 2021]]</f>
        <v>4</v>
      </c>
      <c r="P460" s="64">
        <f>+Tabla1[[#This Row],[STOCK  FEBRERO 2021]]-Tabla1[[#This Row],[REQUISICIONES MARZO 2021]]+Tabla1[[#This Row],[ENTRADAS MARZO 2021]]</f>
        <v>4</v>
      </c>
      <c r="Q460" s="31" t="s">
        <v>12</v>
      </c>
      <c r="R460" s="35">
        <v>0</v>
      </c>
      <c r="S460" s="36">
        <f t="shared" si="17"/>
        <v>0</v>
      </c>
      <c r="T460" s="100">
        <f>Tabla1[[#This Row],[STOCK MARZO ]]*Tabla1[[#This Row],[COSTO UNITARIO SIN ITBIS]]</f>
        <v>0</v>
      </c>
    </row>
    <row r="461" spans="1:20" s="9" customFormat="1" x14ac:dyDescent="0.25">
      <c r="A461" s="97">
        <v>61</v>
      </c>
      <c r="B461" s="76">
        <v>44110</v>
      </c>
      <c r="C461" s="14" t="s">
        <v>11</v>
      </c>
      <c r="D461" s="76">
        <v>44110</v>
      </c>
      <c r="E461" s="156"/>
      <c r="F461" s="14"/>
      <c r="G461" s="77" t="s">
        <v>412</v>
      </c>
      <c r="H461" s="74">
        <v>207</v>
      </c>
      <c r="I461" s="74"/>
      <c r="J461" s="74">
        <f>+'INVENTARIO ENERO-MARZO 2021'!$H461-'INVENTARIO ENERO-MARZO 2021'!$I461</f>
        <v>207</v>
      </c>
      <c r="K461" s="74"/>
      <c r="L461" s="74"/>
      <c r="M461" s="74"/>
      <c r="N461" s="74"/>
      <c r="O461" s="74">
        <f>+Tabla1[[#This Row],[STOCK    FISICO ENERO 2021]]-Tabla1[[#This Row],[REQUISICIONES FEBRERO 2021]]</f>
        <v>207</v>
      </c>
      <c r="P461" s="74">
        <f>+Tabla1[[#This Row],[STOCK  FEBRERO 2021]]-Tabla1[[#This Row],[REQUISICIONES MARZO 2021]]+Tabla1[[#This Row],[ENTRADAS MARZO 2021]]</f>
        <v>207</v>
      </c>
      <c r="Q461" s="31" t="s">
        <v>12</v>
      </c>
      <c r="R461" s="78">
        <v>531</v>
      </c>
      <c r="S461" s="36">
        <f t="shared" si="17"/>
        <v>626.58000000000004</v>
      </c>
      <c r="T461" s="100">
        <f>Tabla1[[#This Row],[STOCK MARZO ]]*Tabla1[[#This Row],[COSTO UNITARIO SIN ITBIS]]</f>
        <v>109917</v>
      </c>
    </row>
    <row r="462" spans="1:20" s="9" customFormat="1" x14ac:dyDescent="0.25">
      <c r="A462" s="97">
        <v>62</v>
      </c>
      <c r="B462" s="32">
        <v>43089</v>
      </c>
      <c r="C462" s="29" t="s">
        <v>11</v>
      </c>
      <c r="D462" s="32">
        <v>43089</v>
      </c>
      <c r="E462" s="148"/>
      <c r="F462" s="14">
        <v>1695</v>
      </c>
      <c r="G462" s="77" t="s">
        <v>413</v>
      </c>
      <c r="H462" s="74">
        <v>9</v>
      </c>
      <c r="I462" s="74"/>
      <c r="J462" s="74">
        <f>+'INVENTARIO ENERO-MARZO 2021'!$H462-'INVENTARIO ENERO-MARZO 2021'!$I462</f>
        <v>9</v>
      </c>
      <c r="K462" s="74"/>
      <c r="L462" s="74"/>
      <c r="M462" s="74"/>
      <c r="N462" s="74"/>
      <c r="O462" s="74">
        <f>+Tabla1[[#This Row],[STOCK    FISICO ENERO 2021]]-Tabla1[[#This Row],[REQUISICIONES FEBRERO 2021]]</f>
        <v>9</v>
      </c>
      <c r="P462" s="74">
        <f>+Tabla1[[#This Row],[STOCK  FEBRERO 2021]]-Tabla1[[#This Row],[REQUISICIONES MARZO 2021]]+Tabla1[[#This Row],[ENTRADAS MARZO 2021]]</f>
        <v>9</v>
      </c>
      <c r="Q462" s="31" t="s">
        <v>12</v>
      </c>
      <c r="R462" s="78">
        <v>3254.24</v>
      </c>
      <c r="S462" s="36">
        <f t="shared" si="17"/>
        <v>3840.0031999999997</v>
      </c>
      <c r="T462" s="100">
        <f>Tabla1[[#This Row],[STOCK MARZO ]]*Tabla1[[#This Row],[COSTO UNITARIO SIN ITBIS]]</f>
        <v>29288.159999999996</v>
      </c>
    </row>
    <row r="463" spans="1:20" s="9" customFormat="1" x14ac:dyDescent="0.25">
      <c r="A463" s="97">
        <v>63</v>
      </c>
      <c r="B463" s="76">
        <v>44027</v>
      </c>
      <c r="C463" s="14" t="s">
        <v>11</v>
      </c>
      <c r="D463" s="76">
        <v>44027</v>
      </c>
      <c r="E463" s="156"/>
      <c r="F463" s="29">
        <v>1690</v>
      </c>
      <c r="G463" s="33" t="s">
        <v>414</v>
      </c>
      <c r="H463" s="64">
        <v>18</v>
      </c>
      <c r="I463" s="64"/>
      <c r="J463" s="64">
        <f>+'INVENTARIO ENERO-MARZO 2021'!$H463-'INVENTARIO ENERO-MARZO 2021'!$I463</f>
        <v>18</v>
      </c>
      <c r="K463" s="64"/>
      <c r="L463" s="64"/>
      <c r="M463" s="64"/>
      <c r="N463" s="64"/>
      <c r="O463" s="64">
        <f>+Tabla1[[#This Row],[STOCK    FISICO ENERO 2021]]-Tabla1[[#This Row],[REQUISICIONES FEBRERO 2021]]</f>
        <v>18</v>
      </c>
      <c r="P463" s="64">
        <f>+Tabla1[[#This Row],[STOCK  FEBRERO 2021]]-Tabla1[[#This Row],[REQUISICIONES MARZO 2021]]+Tabla1[[#This Row],[ENTRADAS MARZO 2021]]</f>
        <v>18</v>
      </c>
      <c r="Q463" s="31" t="s">
        <v>12</v>
      </c>
      <c r="R463" s="35">
        <v>91.52</v>
      </c>
      <c r="S463" s="36">
        <f t="shared" si="17"/>
        <v>107.99359999999999</v>
      </c>
      <c r="T463" s="100">
        <f>Tabla1[[#This Row],[STOCK MARZO ]]*Tabla1[[#This Row],[COSTO UNITARIO SIN ITBIS]]</f>
        <v>1647.36</v>
      </c>
    </row>
    <row r="464" spans="1:20" s="9" customFormat="1" x14ac:dyDescent="0.25">
      <c r="A464" s="97">
        <v>64</v>
      </c>
      <c r="B464" s="76"/>
      <c r="C464" s="14" t="s">
        <v>11</v>
      </c>
      <c r="D464" s="76"/>
      <c r="E464" s="156"/>
      <c r="F464" s="29">
        <v>1688</v>
      </c>
      <c r="G464" s="33" t="s">
        <v>689</v>
      </c>
      <c r="H464" s="64">
        <v>0</v>
      </c>
      <c r="I464" s="64"/>
      <c r="J464" s="64">
        <f>+'INVENTARIO ENERO-MARZO 2021'!$H464-'INVENTARIO ENERO-MARZO 2021'!$I464</f>
        <v>0</v>
      </c>
      <c r="K464" s="64"/>
      <c r="L464" s="64"/>
      <c r="M464" s="64"/>
      <c r="N464" s="64"/>
      <c r="O464" s="64">
        <f>+Tabla1[[#This Row],[STOCK    FISICO ENERO 2021]]-Tabla1[[#This Row],[REQUISICIONES FEBRERO 2021]]</f>
        <v>0</v>
      </c>
      <c r="P464" s="64">
        <f>+Tabla1[[#This Row],[STOCK  FEBRERO 2021]]-Tabla1[[#This Row],[REQUISICIONES MARZO 2021]]+Tabla1[[#This Row],[ENTRADAS MARZO 2021]]</f>
        <v>0</v>
      </c>
      <c r="Q464" s="31" t="s">
        <v>12</v>
      </c>
      <c r="R464" s="35">
        <v>91.52</v>
      </c>
      <c r="S464" s="36">
        <f t="shared" si="17"/>
        <v>107.99359999999999</v>
      </c>
      <c r="T464" s="100">
        <f>Tabla1[[#This Row],[STOCK MARZO ]]*Tabla1[[#This Row],[COSTO UNITARIO SIN ITBIS]]</f>
        <v>0</v>
      </c>
    </row>
    <row r="465" spans="1:20" s="9" customFormat="1" x14ac:dyDescent="0.25">
      <c r="A465" s="97">
        <v>65</v>
      </c>
      <c r="B465" s="32">
        <v>43089</v>
      </c>
      <c r="C465" s="29" t="s">
        <v>11</v>
      </c>
      <c r="D465" s="32">
        <v>43089</v>
      </c>
      <c r="E465" s="148"/>
      <c r="F465" s="14">
        <v>1689</v>
      </c>
      <c r="G465" s="77" t="s">
        <v>690</v>
      </c>
      <c r="H465" s="74">
        <v>14</v>
      </c>
      <c r="I465" s="74"/>
      <c r="J465" s="74">
        <f>+'INVENTARIO ENERO-MARZO 2021'!$H465-'INVENTARIO ENERO-MARZO 2021'!$I465</f>
        <v>14</v>
      </c>
      <c r="K465" s="74"/>
      <c r="L465" s="74"/>
      <c r="M465" s="74"/>
      <c r="N465" s="74"/>
      <c r="O465" s="74">
        <f>+Tabla1[[#This Row],[STOCK    FISICO ENERO 2021]]-Tabla1[[#This Row],[REQUISICIONES FEBRERO 2021]]</f>
        <v>14</v>
      </c>
      <c r="P465" s="74">
        <f>+Tabla1[[#This Row],[STOCK  FEBRERO 2021]]-Tabla1[[#This Row],[REQUISICIONES MARZO 2021]]+Tabla1[[#This Row],[ENTRADAS MARZO 2021]]</f>
        <v>14</v>
      </c>
      <c r="Q465" s="75" t="s">
        <v>12</v>
      </c>
      <c r="R465" s="78">
        <v>91.52</v>
      </c>
      <c r="S465" s="36">
        <f t="shared" ref="S465:S494" si="18">R465*0.18+R465</f>
        <v>107.99359999999999</v>
      </c>
      <c r="T465" s="100">
        <f>Tabla1[[#This Row],[STOCK MARZO ]]*Tabla1[[#This Row],[COSTO UNITARIO SIN ITBIS]]</f>
        <v>1281.28</v>
      </c>
    </row>
    <row r="466" spans="1:20" s="9" customFormat="1" ht="20.25" customHeight="1" x14ac:dyDescent="0.25">
      <c r="A466" s="97">
        <v>66</v>
      </c>
      <c r="B466" s="76">
        <v>44027</v>
      </c>
      <c r="C466" s="14" t="s">
        <v>11</v>
      </c>
      <c r="D466" s="76">
        <v>44027</v>
      </c>
      <c r="E466" s="156"/>
      <c r="F466" s="29">
        <v>1679</v>
      </c>
      <c r="G466" s="33" t="s">
        <v>415</v>
      </c>
      <c r="H466" s="64">
        <v>5</v>
      </c>
      <c r="I466" s="64"/>
      <c r="J466" s="64">
        <f>+'INVENTARIO ENERO-MARZO 2021'!$H466-'INVENTARIO ENERO-MARZO 2021'!$I466</f>
        <v>5</v>
      </c>
      <c r="K466" s="64"/>
      <c r="L466" s="64"/>
      <c r="M466" s="64"/>
      <c r="N466" s="64">
        <v>1</v>
      </c>
      <c r="O466" s="64">
        <f>+Tabla1[[#This Row],[STOCK    FISICO ENERO 2021]]-Tabla1[[#This Row],[REQUISICIONES FEBRERO 2021]]</f>
        <v>5</v>
      </c>
      <c r="P466" s="64">
        <f>+Tabla1[[#This Row],[STOCK  FEBRERO 2021]]-Tabla1[[#This Row],[REQUISICIONES MARZO 2021]]+Tabla1[[#This Row],[ENTRADAS MARZO 2021]]</f>
        <v>4</v>
      </c>
      <c r="Q466" s="31" t="s">
        <v>12</v>
      </c>
      <c r="R466" s="35">
        <v>172.88</v>
      </c>
      <c r="S466" s="36">
        <f t="shared" si="18"/>
        <v>203.9984</v>
      </c>
      <c r="T466" s="100">
        <f>Tabla1[[#This Row],[STOCK MARZO ]]*Tabla1[[#This Row],[COSTO UNITARIO SIN ITBIS]]</f>
        <v>691.52</v>
      </c>
    </row>
    <row r="467" spans="1:20" s="9" customFormat="1" x14ac:dyDescent="0.25">
      <c r="A467" s="97">
        <v>67</v>
      </c>
      <c r="B467" s="32">
        <v>44168</v>
      </c>
      <c r="C467" s="29" t="s">
        <v>11</v>
      </c>
      <c r="D467" s="32">
        <v>44153</v>
      </c>
      <c r="E467" s="148"/>
      <c r="F467" s="14">
        <v>1680</v>
      </c>
      <c r="G467" s="77" t="s">
        <v>416</v>
      </c>
      <c r="H467" s="74">
        <v>1</v>
      </c>
      <c r="I467" s="74"/>
      <c r="J467" s="74">
        <f>+'INVENTARIO ENERO-MARZO 2021'!$H467-'INVENTARIO ENERO-MARZO 2021'!$I467</f>
        <v>1</v>
      </c>
      <c r="K467" s="74"/>
      <c r="L467" s="74"/>
      <c r="M467" s="74"/>
      <c r="N467" s="74"/>
      <c r="O467" s="74">
        <f>+Tabla1[[#This Row],[STOCK    FISICO ENERO 2021]]-Tabla1[[#This Row],[REQUISICIONES FEBRERO 2021]]</f>
        <v>1</v>
      </c>
      <c r="P467" s="74">
        <f>+Tabla1[[#This Row],[STOCK  FEBRERO 2021]]-Tabla1[[#This Row],[REQUISICIONES MARZO 2021]]+Tabla1[[#This Row],[ENTRADAS MARZO 2021]]</f>
        <v>1</v>
      </c>
      <c r="Q467" s="75" t="s">
        <v>12</v>
      </c>
      <c r="R467" s="78">
        <v>584.74</v>
      </c>
      <c r="S467" s="36">
        <f t="shared" si="18"/>
        <v>689.9932</v>
      </c>
      <c r="T467" s="100">
        <f>Tabla1[[#This Row],[STOCK MARZO ]]*Tabla1[[#This Row],[COSTO UNITARIO SIN ITBIS]]</f>
        <v>584.74</v>
      </c>
    </row>
    <row r="468" spans="1:20" s="9" customFormat="1" x14ac:dyDescent="0.25">
      <c r="A468" s="97">
        <v>68</v>
      </c>
      <c r="B468" s="76">
        <v>44168</v>
      </c>
      <c r="C468" s="14" t="s">
        <v>11</v>
      </c>
      <c r="D468" s="76">
        <v>44151</v>
      </c>
      <c r="E468" s="156"/>
      <c r="F468" s="14">
        <v>1685</v>
      </c>
      <c r="G468" s="77" t="s">
        <v>417</v>
      </c>
      <c r="H468" s="74">
        <v>12</v>
      </c>
      <c r="I468" s="74"/>
      <c r="J468" s="74">
        <f>+'INVENTARIO ENERO-MARZO 2021'!$H468-'INVENTARIO ENERO-MARZO 2021'!$I468</f>
        <v>12</v>
      </c>
      <c r="K468" s="74"/>
      <c r="L468" s="74"/>
      <c r="M468" s="74"/>
      <c r="N468" s="74"/>
      <c r="O468" s="74">
        <f>+Tabla1[[#This Row],[STOCK    FISICO ENERO 2021]]-Tabla1[[#This Row],[REQUISICIONES FEBRERO 2021]]</f>
        <v>12</v>
      </c>
      <c r="P468" s="74">
        <f>+Tabla1[[#This Row],[STOCK  FEBRERO 2021]]-Tabla1[[#This Row],[REQUISICIONES MARZO 2021]]+Tabla1[[#This Row],[ENTRADAS MARZO 2021]]</f>
        <v>12</v>
      </c>
      <c r="Q468" s="75" t="s">
        <v>12</v>
      </c>
      <c r="R468" s="78">
        <v>274.58</v>
      </c>
      <c r="S468" s="36">
        <f t="shared" si="18"/>
        <v>324.00439999999998</v>
      </c>
      <c r="T468" s="100">
        <f>Tabla1[[#This Row],[STOCK MARZO ]]*Tabla1[[#This Row],[COSTO UNITARIO SIN ITBIS]]</f>
        <v>3294.96</v>
      </c>
    </row>
    <row r="469" spans="1:20" s="9" customFormat="1" x14ac:dyDescent="0.25">
      <c r="A469" s="97">
        <v>69</v>
      </c>
      <c r="B469" s="32">
        <v>44168</v>
      </c>
      <c r="C469" s="29" t="s">
        <v>11</v>
      </c>
      <c r="D469" s="32">
        <v>44153</v>
      </c>
      <c r="E469" s="148"/>
      <c r="F469" s="14">
        <v>1683</v>
      </c>
      <c r="G469" s="77" t="s">
        <v>418</v>
      </c>
      <c r="H469" s="74">
        <v>18</v>
      </c>
      <c r="I469" s="74"/>
      <c r="J469" s="74">
        <f>+'INVENTARIO ENERO-MARZO 2021'!$H469-'INVENTARIO ENERO-MARZO 2021'!$I469</f>
        <v>18</v>
      </c>
      <c r="K469" s="74"/>
      <c r="L469" s="74"/>
      <c r="M469" s="74"/>
      <c r="N469" s="74"/>
      <c r="O469" s="74">
        <f>+Tabla1[[#This Row],[STOCK    FISICO ENERO 2021]]-Tabla1[[#This Row],[REQUISICIONES FEBRERO 2021]]</f>
        <v>18</v>
      </c>
      <c r="P469" s="74">
        <f>+Tabla1[[#This Row],[STOCK  FEBRERO 2021]]-Tabla1[[#This Row],[REQUISICIONES MARZO 2021]]+Tabla1[[#This Row],[ENTRADAS MARZO 2021]]</f>
        <v>18</v>
      </c>
      <c r="Q469" s="75" t="s">
        <v>12</v>
      </c>
      <c r="R469" s="78">
        <v>335.59</v>
      </c>
      <c r="S469" s="36">
        <f t="shared" si="18"/>
        <v>395.99619999999999</v>
      </c>
      <c r="T469" s="100">
        <f>Tabla1[[#This Row],[STOCK MARZO ]]*Tabla1[[#This Row],[COSTO UNITARIO SIN ITBIS]]</f>
        <v>6040.62</v>
      </c>
    </row>
    <row r="470" spans="1:20" s="9" customFormat="1" x14ac:dyDescent="0.25">
      <c r="A470" s="97">
        <v>70</v>
      </c>
      <c r="B470" s="76">
        <v>44027</v>
      </c>
      <c r="C470" s="14" t="s">
        <v>11</v>
      </c>
      <c r="D470" s="76">
        <v>44027</v>
      </c>
      <c r="E470" s="156"/>
      <c r="F470" s="14">
        <v>1684</v>
      </c>
      <c r="G470" s="77" t="s">
        <v>419</v>
      </c>
      <c r="H470" s="74">
        <v>15</v>
      </c>
      <c r="I470" s="74"/>
      <c r="J470" s="74">
        <f>+'INVENTARIO ENERO-MARZO 2021'!$H470-'INVENTARIO ENERO-MARZO 2021'!$I470</f>
        <v>15</v>
      </c>
      <c r="K470" s="74"/>
      <c r="L470" s="74"/>
      <c r="M470" s="74"/>
      <c r="N470" s="74"/>
      <c r="O470" s="74">
        <f>+Tabla1[[#This Row],[STOCK    FISICO ENERO 2021]]-Tabla1[[#This Row],[REQUISICIONES FEBRERO 2021]]</f>
        <v>15</v>
      </c>
      <c r="P470" s="74">
        <f>+Tabla1[[#This Row],[STOCK  FEBRERO 2021]]-Tabla1[[#This Row],[REQUISICIONES MARZO 2021]]+Tabla1[[#This Row],[ENTRADAS MARZO 2021]]</f>
        <v>15</v>
      </c>
      <c r="Q470" s="75" t="s">
        <v>12</v>
      </c>
      <c r="R470" s="78">
        <v>183.05</v>
      </c>
      <c r="S470" s="36">
        <f t="shared" si="18"/>
        <v>215.99900000000002</v>
      </c>
      <c r="T470" s="100">
        <f>Tabla1[[#This Row],[STOCK MARZO ]]*Tabla1[[#This Row],[COSTO UNITARIO SIN ITBIS]]</f>
        <v>2745.75</v>
      </c>
    </row>
    <row r="471" spans="1:20" s="9" customFormat="1" x14ac:dyDescent="0.25">
      <c r="A471" s="97">
        <v>71</v>
      </c>
      <c r="B471" s="32">
        <v>44168</v>
      </c>
      <c r="C471" s="29" t="s">
        <v>11</v>
      </c>
      <c r="D471" s="32">
        <v>44153</v>
      </c>
      <c r="E471" s="148"/>
      <c r="F471" s="29">
        <v>1687</v>
      </c>
      <c r="G471" s="33" t="s">
        <v>420</v>
      </c>
      <c r="H471" s="64">
        <v>1</v>
      </c>
      <c r="I471" s="64"/>
      <c r="J471" s="64">
        <f>+'INVENTARIO ENERO-MARZO 2021'!$H471-'INVENTARIO ENERO-MARZO 2021'!$I471</f>
        <v>1</v>
      </c>
      <c r="K471" s="64"/>
      <c r="L471" s="64"/>
      <c r="M471" s="64"/>
      <c r="N471" s="64"/>
      <c r="O471" s="64">
        <f>+Tabla1[[#This Row],[STOCK    FISICO ENERO 2021]]-Tabla1[[#This Row],[REQUISICIONES FEBRERO 2021]]</f>
        <v>1</v>
      </c>
      <c r="P471" s="64">
        <f>+Tabla1[[#This Row],[STOCK  FEBRERO 2021]]-Tabla1[[#This Row],[REQUISICIONES MARZO 2021]]+Tabla1[[#This Row],[ENTRADAS MARZO 2021]]</f>
        <v>1</v>
      </c>
      <c r="Q471" s="31" t="s">
        <v>12</v>
      </c>
      <c r="R471" s="35">
        <v>15.25</v>
      </c>
      <c r="S471" s="36">
        <f t="shared" si="18"/>
        <v>17.995000000000001</v>
      </c>
      <c r="T471" s="100">
        <f>Tabla1[[#This Row],[STOCK MARZO ]]*Tabla1[[#This Row],[COSTO UNITARIO SIN ITBIS]]</f>
        <v>15.25</v>
      </c>
    </row>
    <row r="472" spans="1:20" s="9" customFormat="1" x14ac:dyDescent="0.25">
      <c r="A472" s="97">
        <v>72</v>
      </c>
      <c r="B472" s="76">
        <v>44026</v>
      </c>
      <c r="C472" s="14" t="s">
        <v>11</v>
      </c>
      <c r="D472" s="76">
        <v>44026</v>
      </c>
      <c r="E472" s="156"/>
      <c r="F472" s="14">
        <v>1125</v>
      </c>
      <c r="G472" s="77" t="s">
        <v>421</v>
      </c>
      <c r="H472" s="74">
        <v>6</v>
      </c>
      <c r="I472" s="74"/>
      <c r="J472" s="74">
        <f>+'INVENTARIO ENERO-MARZO 2021'!$H472-'INVENTARIO ENERO-MARZO 2021'!$I472</f>
        <v>6</v>
      </c>
      <c r="K472" s="74"/>
      <c r="L472" s="74"/>
      <c r="M472" s="74"/>
      <c r="N472" s="74"/>
      <c r="O472" s="74">
        <f>+Tabla1[[#This Row],[STOCK    FISICO ENERO 2021]]-Tabla1[[#This Row],[REQUISICIONES FEBRERO 2021]]</f>
        <v>6</v>
      </c>
      <c r="P472" s="74">
        <f>+Tabla1[[#This Row],[STOCK  FEBRERO 2021]]-Tabla1[[#This Row],[REQUISICIONES MARZO 2021]]+Tabla1[[#This Row],[ENTRADAS MARZO 2021]]</f>
        <v>6</v>
      </c>
      <c r="Q472" s="75" t="s">
        <v>12</v>
      </c>
      <c r="R472" s="78">
        <v>141.86000000000001</v>
      </c>
      <c r="S472" s="36">
        <f t="shared" si="18"/>
        <v>167.3948</v>
      </c>
      <c r="T472" s="100">
        <f>Tabla1[[#This Row],[STOCK MARZO ]]*Tabla1[[#This Row],[COSTO UNITARIO SIN ITBIS]]</f>
        <v>851.16000000000008</v>
      </c>
    </row>
    <row r="473" spans="1:20" s="9" customFormat="1" x14ac:dyDescent="0.25">
      <c r="A473" s="97">
        <v>73</v>
      </c>
      <c r="B473" s="32">
        <v>44026</v>
      </c>
      <c r="C473" s="29" t="s">
        <v>11</v>
      </c>
      <c r="D473" s="32">
        <v>44026</v>
      </c>
      <c r="E473" s="148"/>
      <c r="F473" s="14">
        <v>1697</v>
      </c>
      <c r="G473" s="77" t="s">
        <v>422</v>
      </c>
      <c r="H473" s="74">
        <v>81</v>
      </c>
      <c r="I473" s="74"/>
      <c r="J473" s="74">
        <f>+'INVENTARIO ENERO-MARZO 2021'!$H473-'INVENTARIO ENERO-MARZO 2021'!$I473</f>
        <v>81</v>
      </c>
      <c r="K473" s="74"/>
      <c r="L473" s="74"/>
      <c r="M473" s="74"/>
      <c r="N473" s="74"/>
      <c r="O473" s="74">
        <f>+Tabla1[[#This Row],[STOCK    FISICO ENERO 2021]]-Tabla1[[#This Row],[REQUISICIONES FEBRERO 2021]]</f>
        <v>81</v>
      </c>
      <c r="P473" s="74">
        <f>+Tabla1[[#This Row],[STOCK  FEBRERO 2021]]-Tabla1[[#This Row],[REQUISICIONES MARZO 2021]]+Tabla1[[#This Row],[ENTRADAS MARZO 2021]]</f>
        <v>81</v>
      </c>
      <c r="Q473" s="75" t="s">
        <v>12</v>
      </c>
      <c r="R473" s="78">
        <v>45.77</v>
      </c>
      <c r="S473" s="36">
        <f t="shared" si="18"/>
        <v>54.008600000000001</v>
      </c>
      <c r="T473" s="100">
        <f>Tabla1[[#This Row],[STOCK MARZO ]]*Tabla1[[#This Row],[COSTO UNITARIO SIN ITBIS]]</f>
        <v>3707.3700000000003</v>
      </c>
    </row>
    <row r="474" spans="1:20" s="9" customFormat="1" x14ac:dyDescent="0.25">
      <c r="A474" s="97">
        <v>74</v>
      </c>
      <c r="B474" s="32">
        <v>43088</v>
      </c>
      <c r="C474" s="29" t="s">
        <v>11</v>
      </c>
      <c r="D474" s="32">
        <v>43088</v>
      </c>
      <c r="E474" s="148"/>
      <c r="F474" s="29">
        <v>1696</v>
      </c>
      <c r="G474" s="33" t="s">
        <v>423</v>
      </c>
      <c r="H474" s="64">
        <v>93</v>
      </c>
      <c r="I474" s="64"/>
      <c r="J474" s="64">
        <f>+'INVENTARIO ENERO-MARZO 2021'!$H474-'INVENTARIO ENERO-MARZO 2021'!$I474</f>
        <v>93</v>
      </c>
      <c r="K474" s="64"/>
      <c r="L474" s="64"/>
      <c r="M474" s="64"/>
      <c r="N474" s="64"/>
      <c r="O474" s="64">
        <f>+Tabla1[[#This Row],[STOCK    FISICO ENERO 2021]]-Tabla1[[#This Row],[REQUISICIONES FEBRERO 2021]]</f>
        <v>93</v>
      </c>
      <c r="P474" s="64">
        <f>+Tabla1[[#This Row],[STOCK  FEBRERO 2021]]-Tabla1[[#This Row],[REQUISICIONES MARZO 2021]]+Tabla1[[#This Row],[ENTRADAS MARZO 2021]]</f>
        <v>93</v>
      </c>
      <c r="Q474" s="31" t="s">
        <v>12</v>
      </c>
      <c r="R474" s="35">
        <v>56.4</v>
      </c>
      <c r="S474" s="36">
        <f t="shared" si="18"/>
        <v>66.551999999999992</v>
      </c>
      <c r="T474" s="100">
        <f>Tabla1[[#This Row],[STOCK MARZO ]]*Tabla1[[#This Row],[COSTO UNITARIO SIN ITBIS]]</f>
        <v>5245.2</v>
      </c>
    </row>
    <row r="475" spans="1:20" s="9" customFormat="1" x14ac:dyDescent="0.25">
      <c r="A475" s="97">
        <v>75</v>
      </c>
      <c r="B475" s="76">
        <v>43088</v>
      </c>
      <c r="C475" s="14" t="s">
        <v>11</v>
      </c>
      <c r="D475" s="76">
        <v>43088</v>
      </c>
      <c r="E475" s="156"/>
      <c r="F475" s="14"/>
      <c r="G475" s="77" t="s">
        <v>424</v>
      </c>
      <c r="H475" s="74">
        <v>2</v>
      </c>
      <c r="I475" s="74"/>
      <c r="J475" s="74">
        <f>+'INVENTARIO ENERO-MARZO 2021'!$H475-'INVENTARIO ENERO-MARZO 2021'!$I475</f>
        <v>2</v>
      </c>
      <c r="K475" s="74"/>
      <c r="L475" s="74"/>
      <c r="M475" s="74"/>
      <c r="N475" s="74"/>
      <c r="O475" s="74">
        <f>+Tabla1[[#This Row],[STOCK    FISICO ENERO 2021]]-Tabla1[[#This Row],[REQUISICIONES FEBRERO 2021]]</f>
        <v>2</v>
      </c>
      <c r="P475" s="74">
        <f>+Tabla1[[#This Row],[STOCK  FEBRERO 2021]]-Tabla1[[#This Row],[REQUISICIONES MARZO 2021]]+Tabla1[[#This Row],[ENTRADAS MARZO 2021]]</f>
        <v>2</v>
      </c>
      <c r="Q475" s="31" t="s">
        <v>12</v>
      </c>
      <c r="R475" s="78">
        <v>536.9</v>
      </c>
      <c r="S475" s="36">
        <f t="shared" si="18"/>
        <v>633.54199999999992</v>
      </c>
      <c r="T475" s="100">
        <f>Tabla1[[#This Row],[STOCK MARZO ]]*Tabla1[[#This Row],[COSTO UNITARIO SIN ITBIS]]</f>
        <v>1073.8</v>
      </c>
    </row>
    <row r="476" spans="1:20" s="9" customFormat="1" x14ac:dyDescent="0.25">
      <c r="A476" s="97">
        <v>76</v>
      </c>
      <c r="B476" s="76">
        <v>44027</v>
      </c>
      <c r="C476" s="14" t="s">
        <v>11</v>
      </c>
      <c r="D476" s="76">
        <v>44027</v>
      </c>
      <c r="E476" s="156"/>
      <c r="F476" s="14" t="s">
        <v>23</v>
      </c>
      <c r="G476" s="77" t="s">
        <v>425</v>
      </c>
      <c r="H476" s="74">
        <v>10</v>
      </c>
      <c r="I476" s="74"/>
      <c r="J476" s="74">
        <f>+'INVENTARIO ENERO-MARZO 2021'!$H476-'INVENTARIO ENERO-MARZO 2021'!$I476</f>
        <v>10</v>
      </c>
      <c r="K476" s="74"/>
      <c r="L476" s="74"/>
      <c r="M476" s="74"/>
      <c r="N476" s="74">
        <v>4</v>
      </c>
      <c r="O476" s="74">
        <f>+Tabla1[[#This Row],[STOCK    FISICO ENERO 2021]]-Tabla1[[#This Row],[REQUISICIONES FEBRERO 2021]]</f>
        <v>10</v>
      </c>
      <c r="P476" s="74">
        <f>+Tabla1[[#This Row],[STOCK  FEBRERO 2021]]-Tabla1[[#This Row],[REQUISICIONES MARZO 2021]]+Tabla1[[#This Row],[ENTRADAS MARZO 2021]]</f>
        <v>6</v>
      </c>
      <c r="Q476" s="75" t="s">
        <v>12</v>
      </c>
      <c r="R476" s="78">
        <v>0</v>
      </c>
      <c r="S476" s="36">
        <f t="shared" si="18"/>
        <v>0</v>
      </c>
      <c r="T476" s="100">
        <f>Tabla1[[#This Row],[STOCK MARZO ]]*Tabla1[[#This Row],[COSTO UNITARIO SIN ITBIS]]</f>
        <v>0</v>
      </c>
    </row>
    <row r="477" spans="1:20" s="9" customFormat="1" x14ac:dyDescent="0.25">
      <c r="A477" s="97">
        <v>77</v>
      </c>
      <c r="B477" s="32">
        <v>43088</v>
      </c>
      <c r="C477" s="29" t="s">
        <v>11</v>
      </c>
      <c r="D477" s="32">
        <v>43088</v>
      </c>
      <c r="E477" s="148"/>
      <c r="F477" s="29">
        <v>1692</v>
      </c>
      <c r="G477" s="33" t="s">
        <v>691</v>
      </c>
      <c r="H477" s="64">
        <v>2</v>
      </c>
      <c r="I477" s="64"/>
      <c r="J477" s="64">
        <f>+'INVENTARIO ENERO-MARZO 2021'!$H477-'INVENTARIO ENERO-MARZO 2021'!$I477</f>
        <v>2</v>
      </c>
      <c r="K477" s="64"/>
      <c r="L477" s="64"/>
      <c r="M477" s="64"/>
      <c r="N477" s="64"/>
      <c r="O477" s="64">
        <f>+Tabla1[[#This Row],[STOCK    FISICO ENERO 2021]]-Tabla1[[#This Row],[REQUISICIONES FEBRERO 2021]]</f>
        <v>2</v>
      </c>
      <c r="P477" s="64">
        <f>+Tabla1[[#This Row],[STOCK  FEBRERO 2021]]-Tabla1[[#This Row],[REQUISICIONES MARZO 2021]]+Tabla1[[#This Row],[ENTRADAS MARZO 2021]]</f>
        <v>2</v>
      </c>
      <c r="Q477" s="31" t="s">
        <v>12</v>
      </c>
      <c r="R477" s="35">
        <v>1444.07</v>
      </c>
      <c r="S477" s="36">
        <f t="shared" si="18"/>
        <v>1704.0025999999998</v>
      </c>
      <c r="T477" s="100">
        <f>Tabla1[[#This Row],[STOCK MARZO ]]*Tabla1[[#This Row],[COSTO UNITARIO SIN ITBIS]]</f>
        <v>2888.14</v>
      </c>
    </row>
    <row r="478" spans="1:20" s="9" customFormat="1" x14ac:dyDescent="0.25">
      <c r="A478" s="97">
        <v>78</v>
      </c>
      <c r="B478" s="76">
        <v>44027</v>
      </c>
      <c r="C478" s="14" t="s">
        <v>11</v>
      </c>
      <c r="D478" s="76">
        <v>44027</v>
      </c>
      <c r="E478" s="156"/>
      <c r="F478" s="14">
        <v>1694</v>
      </c>
      <c r="G478" s="77" t="s">
        <v>426</v>
      </c>
      <c r="H478" s="74">
        <v>16</v>
      </c>
      <c r="I478" s="74"/>
      <c r="J478" s="74">
        <f>+'INVENTARIO ENERO-MARZO 2021'!$H478-'INVENTARIO ENERO-MARZO 2021'!$I478</f>
        <v>16</v>
      </c>
      <c r="K478" s="74"/>
      <c r="L478" s="74"/>
      <c r="M478" s="74"/>
      <c r="N478" s="74"/>
      <c r="O478" s="74">
        <f>+Tabla1[[#This Row],[STOCK    FISICO ENERO 2021]]-Tabla1[[#This Row],[REQUISICIONES FEBRERO 2021]]</f>
        <v>16</v>
      </c>
      <c r="P478" s="74">
        <f>+Tabla1[[#This Row],[STOCK  FEBRERO 2021]]-Tabla1[[#This Row],[REQUISICIONES MARZO 2021]]+Tabla1[[#This Row],[ENTRADAS MARZO 2021]]</f>
        <v>16</v>
      </c>
      <c r="Q478" s="75" t="s">
        <v>12</v>
      </c>
      <c r="R478" s="78">
        <v>1014</v>
      </c>
      <c r="S478" s="36">
        <f t="shared" si="18"/>
        <v>1196.52</v>
      </c>
      <c r="T478" s="100">
        <f>Tabla1[[#This Row],[STOCK MARZO ]]*Tabla1[[#This Row],[COSTO UNITARIO SIN ITBIS]]</f>
        <v>16224</v>
      </c>
    </row>
    <row r="479" spans="1:20" s="9" customFormat="1" x14ac:dyDescent="0.25">
      <c r="A479" s="97">
        <v>79</v>
      </c>
      <c r="B479" s="76">
        <v>44110</v>
      </c>
      <c r="C479" s="14" t="s">
        <v>11</v>
      </c>
      <c r="D479" s="76">
        <v>44110</v>
      </c>
      <c r="E479" s="156"/>
      <c r="F479" s="14"/>
      <c r="G479" s="77" t="s">
        <v>427</v>
      </c>
      <c r="H479" s="74">
        <v>11</v>
      </c>
      <c r="I479" s="74"/>
      <c r="J479" s="74">
        <f>+'INVENTARIO ENERO-MARZO 2021'!$H479-'INVENTARIO ENERO-MARZO 2021'!$I479</f>
        <v>11</v>
      </c>
      <c r="K479" s="74"/>
      <c r="L479" s="74"/>
      <c r="M479" s="74"/>
      <c r="N479" s="74">
        <f>1+1</f>
        <v>2</v>
      </c>
      <c r="O479" s="74">
        <f>+Tabla1[[#This Row],[STOCK    FISICO ENERO 2021]]-Tabla1[[#This Row],[REQUISICIONES FEBRERO 2021]]</f>
        <v>11</v>
      </c>
      <c r="P479" s="74">
        <f>+Tabla1[[#This Row],[STOCK  FEBRERO 2021]]-Tabla1[[#This Row],[REQUISICIONES MARZO 2021]]+Tabla1[[#This Row],[ENTRADAS MARZO 2021]]</f>
        <v>9</v>
      </c>
      <c r="Q479" s="75" t="s">
        <v>12</v>
      </c>
      <c r="R479" s="78">
        <v>3380.7</v>
      </c>
      <c r="S479" s="36">
        <f t="shared" si="18"/>
        <v>3989.2259999999997</v>
      </c>
      <c r="T479" s="100">
        <f>Tabla1[[#This Row],[STOCK MARZO ]]*Tabla1[[#This Row],[COSTO UNITARIO SIN ITBIS]]</f>
        <v>30426.3</v>
      </c>
    </row>
    <row r="480" spans="1:20" s="9" customFormat="1" x14ac:dyDescent="0.25">
      <c r="A480" s="97">
        <v>80</v>
      </c>
      <c r="B480" s="32">
        <v>44110</v>
      </c>
      <c r="C480" s="29" t="s">
        <v>11</v>
      </c>
      <c r="D480" s="32">
        <v>44110</v>
      </c>
      <c r="E480" s="148"/>
      <c r="F480" s="29">
        <v>1721</v>
      </c>
      <c r="G480" s="33" t="s">
        <v>428</v>
      </c>
      <c r="H480" s="64">
        <v>39</v>
      </c>
      <c r="I480" s="64"/>
      <c r="J480" s="64">
        <f>+'INVENTARIO ENERO-MARZO 2021'!$H480-'INVENTARIO ENERO-MARZO 2021'!$I480</f>
        <v>39</v>
      </c>
      <c r="K480" s="64"/>
      <c r="L480" s="64"/>
      <c r="M480" s="64"/>
      <c r="N480" s="64"/>
      <c r="O480" s="64">
        <f>+Tabla1[[#This Row],[STOCK    FISICO ENERO 2021]]-Tabla1[[#This Row],[REQUISICIONES FEBRERO 2021]]</f>
        <v>39</v>
      </c>
      <c r="P480" s="64">
        <f>+Tabla1[[#This Row],[STOCK  FEBRERO 2021]]-Tabla1[[#This Row],[REQUISICIONES MARZO 2021]]+Tabla1[[#This Row],[ENTRADAS MARZO 2021]]</f>
        <v>39</v>
      </c>
      <c r="Q480" s="31" t="s">
        <v>12</v>
      </c>
      <c r="R480" s="35">
        <v>18.309999999999999</v>
      </c>
      <c r="S480" s="36">
        <f t="shared" si="18"/>
        <v>21.605799999999999</v>
      </c>
      <c r="T480" s="100">
        <f>Tabla1[[#This Row],[STOCK MARZO ]]*Tabla1[[#This Row],[COSTO UNITARIO SIN ITBIS]]</f>
        <v>714.08999999999992</v>
      </c>
    </row>
    <row r="481" spans="1:20" s="9" customFormat="1" x14ac:dyDescent="0.25">
      <c r="A481" s="97">
        <v>81</v>
      </c>
      <c r="B481" s="32">
        <v>44027</v>
      </c>
      <c r="C481" s="29" t="s">
        <v>11</v>
      </c>
      <c r="D481" s="32">
        <v>44027</v>
      </c>
      <c r="E481" s="148"/>
      <c r="F481" s="14">
        <v>1722</v>
      </c>
      <c r="G481" s="77" t="s">
        <v>429</v>
      </c>
      <c r="H481" s="74">
        <v>47</v>
      </c>
      <c r="I481" s="74"/>
      <c r="J481" s="74">
        <f>+'INVENTARIO ENERO-MARZO 2021'!$H481-'INVENTARIO ENERO-MARZO 2021'!$I481</f>
        <v>47</v>
      </c>
      <c r="K481" s="74"/>
      <c r="L481" s="74"/>
      <c r="M481" s="74"/>
      <c r="N481" s="74"/>
      <c r="O481" s="74">
        <f>+Tabla1[[#This Row],[STOCK    FISICO ENERO 2021]]-Tabla1[[#This Row],[REQUISICIONES FEBRERO 2021]]</f>
        <v>47</v>
      </c>
      <c r="P481" s="74">
        <f>+Tabla1[[#This Row],[STOCK  FEBRERO 2021]]-Tabla1[[#This Row],[REQUISICIONES MARZO 2021]]+Tabla1[[#This Row],[ENTRADAS MARZO 2021]]</f>
        <v>47</v>
      </c>
      <c r="Q481" s="75" t="s">
        <v>12</v>
      </c>
      <c r="R481" s="78">
        <v>18.309999999999999</v>
      </c>
      <c r="S481" s="36">
        <f t="shared" si="18"/>
        <v>21.605799999999999</v>
      </c>
      <c r="T481" s="100">
        <f>Tabla1[[#This Row],[STOCK MARZO ]]*Tabla1[[#This Row],[COSTO UNITARIO SIN ITBIS]]</f>
        <v>860.56999999999994</v>
      </c>
    </row>
    <row r="482" spans="1:20" s="9" customFormat="1" x14ac:dyDescent="0.25">
      <c r="A482" s="97">
        <v>82</v>
      </c>
      <c r="B482" s="76">
        <v>44168</v>
      </c>
      <c r="C482" s="14" t="s">
        <v>11</v>
      </c>
      <c r="D482" s="76"/>
      <c r="E482" s="156"/>
      <c r="F482" s="14">
        <v>1700</v>
      </c>
      <c r="G482" s="77" t="s">
        <v>430</v>
      </c>
      <c r="H482" s="74">
        <v>92</v>
      </c>
      <c r="I482" s="74"/>
      <c r="J482" s="74">
        <f>+'INVENTARIO ENERO-MARZO 2021'!$H482-'INVENTARIO ENERO-MARZO 2021'!$I482</f>
        <v>92</v>
      </c>
      <c r="K482" s="74"/>
      <c r="L482" s="74"/>
      <c r="M482" s="74"/>
      <c r="N482" s="74">
        <v>3</v>
      </c>
      <c r="O482" s="74">
        <f>+Tabla1[[#This Row],[STOCK    FISICO ENERO 2021]]-Tabla1[[#This Row],[REQUISICIONES FEBRERO 2021]]</f>
        <v>92</v>
      </c>
      <c r="P482" s="74">
        <f>+Tabla1[[#This Row],[STOCK  FEBRERO 2021]]-Tabla1[[#This Row],[REQUISICIONES MARZO 2021]]+Tabla1[[#This Row],[ENTRADAS MARZO 2021]]</f>
        <v>89</v>
      </c>
      <c r="Q482" s="75" t="s">
        <v>12</v>
      </c>
      <c r="R482" s="78">
        <v>40.68</v>
      </c>
      <c r="S482" s="36">
        <f t="shared" si="18"/>
        <v>48.002400000000002</v>
      </c>
      <c r="T482" s="100">
        <f>Tabla1[[#This Row],[STOCK MARZO ]]*Tabla1[[#This Row],[COSTO UNITARIO SIN ITBIS]]</f>
        <v>3620.52</v>
      </c>
    </row>
    <row r="483" spans="1:20" s="9" customFormat="1" x14ac:dyDescent="0.25">
      <c r="A483" s="97">
        <v>83</v>
      </c>
      <c r="B483" s="76">
        <v>44027</v>
      </c>
      <c r="C483" s="14" t="s">
        <v>11</v>
      </c>
      <c r="D483" s="76">
        <v>44027</v>
      </c>
      <c r="E483" s="156"/>
      <c r="F483" s="29">
        <v>1674</v>
      </c>
      <c r="G483" s="33" t="s">
        <v>431</v>
      </c>
      <c r="H483" s="64">
        <v>35</v>
      </c>
      <c r="I483" s="64"/>
      <c r="J483" s="64">
        <f>+'INVENTARIO ENERO-MARZO 2021'!$H483-'INVENTARIO ENERO-MARZO 2021'!$I483</f>
        <v>35</v>
      </c>
      <c r="K483" s="64"/>
      <c r="L483" s="64"/>
      <c r="M483" s="64"/>
      <c r="N483" s="64"/>
      <c r="O483" s="64">
        <f>+Tabla1[[#This Row],[STOCK    FISICO ENERO 2021]]-Tabla1[[#This Row],[REQUISICIONES FEBRERO 2021]]</f>
        <v>35</v>
      </c>
      <c r="P483" s="64">
        <f>+Tabla1[[#This Row],[STOCK  FEBRERO 2021]]-Tabla1[[#This Row],[REQUISICIONES MARZO 2021]]+Tabla1[[#This Row],[ENTRADAS MARZO 2021]]</f>
        <v>35</v>
      </c>
      <c r="Q483" s="31" t="s">
        <v>12</v>
      </c>
      <c r="R483" s="35">
        <v>42.28</v>
      </c>
      <c r="S483" s="36">
        <f t="shared" si="18"/>
        <v>49.8904</v>
      </c>
      <c r="T483" s="100">
        <f>Tabla1[[#This Row],[STOCK MARZO ]]*Tabla1[[#This Row],[COSTO UNITARIO SIN ITBIS]]</f>
        <v>1479.8</v>
      </c>
    </row>
    <row r="484" spans="1:20" s="9" customFormat="1" x14ac:dyDescent="0.25">
      <c r="A484" s="97">
        <v>84</v>
      </c>
      <c r="B484" s="32">
        <v>42991</v>
      </c>
      <c r="C484" s="29" t="s">
        <v>11</v>
      </c>
      <c r="D484" s="32">
        <v>42991</v>
      </c>
      <c r="E484" s="148"/>
      <c r="F484" s="14">
        <v>1673</v>
      </c>
      <c r="G484" s="77" t="s">
        <v>432</v>
      </c>
      <c r="H484" s="74">
        <v>33</v>
      </c>
      <c r="I484" s="74"/>
      <c r="J484" s="74">
        <f>+'INVENTARIO ENERO-MARZO 2021'!$H484-'INVENTARIO ENERO-MARZO 2021'!$I484</f>
        <v>33</v>
      </c>
      <c r="K484" s="74"/>
      <c r="L484" s="74"/>
      <c r="M484" s="74"/>
      <c r="N484" s="74"/>
      <c r="O484" s="74">
        <f>+Tabla1[[#This Row],[STOCK    FISICO ENERO 2021]]-Tabla1[[#This Row],[REQUISICIONES FEBRERO 2021]]</f>
        <v>33</v>
      </c>
      <c r="P484" s="74">
        <f>+Tabla1[[#This Row],[STOCK  FEBRERO 2021]]-Tabla1[[#This Row],[REQUISICIONES MARZO 2021]]+Tabla1[[#This Row],[ENTRADAS MARZO 2021]]</f>
        <v>33</v>
      </c>
      <c r="Q484" s="75" t="s">
        <v>12</v>
      </c>
      <c r="R484" s="78">
        <v>5.65</v>
      </c>
      <c r="S484" s="36">
        <f t="shared" si="18"/>
        <v>6.6670000000000007</v>
      </c>
      <c r="T484" s="100">
        <f>Tabla1[[#This Row],[STOCK MARZO ]]*Tabla1[[#This Row],[COSTO UNITARIO SIN ITBIS]]</f>
        <v>186.45000000000002</v>
      </c>
    </row>
    <row r="485" spans="1:20" s="9" customFormat="1" x14ac:dyDescent="0.25">
      <c r="A485" s="97">
        <v>85</v>
      </c>
      <c r="B485" s="76">
        <v>44026</v>
      </c>
      <c r="C485" s="14" t="s">
        <v>11</v>
      </c>
      <c r="D485" s="76">
        <v>44026</v>
      </c>
      <c r="E485" s="156"/>
      <c r="F485" s="29">
        <v>1213</v>
      </c>
      <c r="G485" s="33" t="s">
        <v>692</v>
      </c>
      <c r="H485" s="64">
        <v>36</v>
      </c>
      <c r="I485" s="64"/>
      <c r="J485" s="64">
        <f>+'INVENTARIO ENERO-MARZO 2021'!$H485-'INVENTARIO ENERO-MARZO 2021'!$I485</f>
        <v>36</v>
      </c>
      <c r="K485" s="64"/>
      <c r="L485" s="64"/>
      <c r="M485" s="64"/>
      <c r="N485" s="64"/>
      <c r="O485" s="64">
        <f>+Tabla1[[#This Row],[STOCK    FISICO ENERO 2021]]-Tabla1[[#This Row],[REQUISICIONES FEBRERO 2021]]</f>
        <v>36</v>
      </c>
      <c r="P485" s="64">
        <f>+Tabla1[[#This Row],[STOCK  FEBRERO 2021]]-Tabla1[[#This Row],[REQUISICIONES MARZO 2021]]+Tabla1[[#This Row],[ENTRADAS MARZO 2021]]</f>
        <v>36</v>
      </c>
      <c r="Q485" s="31" t="s">
        <v>12</v>
      </c>
      <c r="R485" s="35">
        <v>0</v>
      </c>
      <c r="S485" s="36">
        <f t="shared" si="18"/>
        <v>0</v>
      </c>
      <c r="T485" s="100">
        <f>Tabla1[[#This Row],[STOCK MARZO ]]*Tabla1[[#This Row],[COSTO UNITARIO SIN ITBIS]]</f>
        <v>0</v>
      </c>
    </row>
    <row r="486" spans="1:20" s="9" customFormat="1" x14ac:dyDescent="0.25">
      <c r="A486" s="97">
        <v>86</v>
      </c>
      <c r="B486" s="32">
        <v>44026</v>
      </c>
      <c r="C486" s="29" t="s">
        <v>11</v>
      </c>
      <c r="D486" s="32">
        <v>44026</v>
      </c>
      <c r="E486" s="148"/>
      <c r="F486" s="14">
        <v>1314</v>
      </c>
      <c r="G486" s="77" t="s">
        <v>433</v>
      </c>
      <c r="H486" s="74">
        <v>1</v>
      </c>
      <c r="I486" s="74"/>
      <c r="J486" s="74">
        <f>+'INVENTARIO ENERO-MARZO 2021'!$H486-'INVENTARIO ENERO-MARZO 2021'!$I486</f>
        <v>1</v>
      </c>
      <c r="K486" s="74"/>
      <c r="L486" s="74"/>
      <c r="M486" s="74"/>
      <c r="N486" s="74"/>
      <c r="O486" s="74">
        <f>+Tabla1[[#This Row],[STOCK    FISICO ENERO 2021]]-Tabla1[[#This Row],[REQUISICIONES FEBRERO 2021]]</f>
        <v>1</v>
      </c>
      <c r="P486" s="74">
        <f>+Tabla1[[#This Row],[STOCK  FEBRERO 2021]]-Tabla1[[#This Row],[REQUISICIONES MARZO 2021]]+Tabla1[[#This Row],[ENTRADAS MARZO 2021]]</f>
        <v>1</v>
      </c>
      <c r="Q486" s="75" t="s">
        <v>12</v>
      </c>
      <c r="R486" s="78">
        <v>10.62</v>
      </c>
      <c r="S486" s="36">
        <f t="shared" si="18"/>
        <v>12.531599999999999</v>
      </c>
      <c r="T486" s="100">
        <f>Tabla1[[#This Row],[STOCK MARZO ]]*Tabla1[[#This Row],[COSTO UNITARIO SIN ITBIS]]</f>
        <v>10.62</v>
      </c>
    </row>
    <row r="487" spans="1:20" s="9" customFormat="1" x14ac:dyDescent="0.25">
      <c r="A487" s="97">
        <v>87</v>
      </c>
      <c r="B487" s="76">
        <v>44026</v>
      </c>
      <c r="C487" s="14" t="s">
        <v>11</v>
      </c>
      <c r="D487" s="76">
        <v>44026</v>
      </c>
      <c r="E487" s="156"/>
      <c r="F487" s="29">
        <v>1448</v>
      </c>
      <c r="G487" s="33" t="s">
        <v>434</v>
      </c>
      <c r="H487" s="64">
        <v>9</v>
      </c>
      <c r="I487" s="64"/>
      <c r="J487" s="64">
        <f>+'INVENTARIO ENERO-MARZO 2021'!$H487-'INVENTARIO ENERO-MARZO 2021'!$I487</f>
        <v>9</v>
      </c>
      <c r="K487" s="64"/>
      <c r="L487" s="64"/>
      <c r="M487" s="64"/>
      <c r="N487" s="64">
        <v>2</v>
      </c>
      <c r="O487" s="64">
        <f>+Tabla1[[#This Row],[STOCK    FISICO ENERO 2021]]-Tabla1[[#This Row],[REQUISICIONES FEBRERO 2021]]</f>
        <v>9</v>
      </c>
      <c r="P487" s="64">
        <f>+Tabla1[[#This Row],[STOCK  FEBRERO 2021]]-Tabla1[[#This Row],[REQUISICIONES MARZO 2021]]+Tabla1[[#This Row],[ENTRADAS MARZO 2021]]</f>
        <v>7</v>
      </c>
      <c r="Q487" s="31" t="s">
        <v>12</v>
      </c>
      <c r="R487" s="35">
        <v>70.09</v>
      </c>
      <c r="S487" s="36">
        <f t="shared" si="18"/>
        <v>82.70620000000001</v>
      </c>
      <c r="T487" s="100">
        <f>Tabla1[[#This Row],[STOCK MARZO ]]*Tabla1[[#This Row],[COSTO UNITARIO SIN ITBIS]]</f>
        <v>490.63</v>
      </c>
    </row>
    <row r="488" spans="1:20" s="9" customFormat="1" x14ac:dyDescent="0.25">
      <c r="A488" s="97">
        <v>88</v>
      </c>
      <c r="B488" s="32">
        <v>43223</v>
      </c>
      <c r="C488" s="29" t="s">
        <v>11</v>
      </c>
      <c r="D488" s="32">
        <v>43223</v>
      </c>
      <c r="E488" s="148"/>
      <c r="F488" s="14">
        <v>1676</v>
      </c>
      <c r="G488" s="77" t="s">
        <v>435</v>
      </c>
      <c r="H488" s="74">
        <v>16</v>
      </c>
      <c r="I488" s="74"/>
      <c r="J488" s="74">
        <f>+'INVENTARIO ENERO-MARZO 2021'!$H488-'INVENTARIO ENERO-MARZO 2021'!$I488</f>
        <v>16</v>
      </c>
      <c r="K488" s="74"/>
      <c r="L488" s="74"/>
      <c r="M488" s="74">
        <v>1</v>
      </c>
      <c r="N488" s="74"/>
      <c r="O488" s="74">
        <f>+Tabla1[[#This Row],[STOCK    FISICO ENERO 2021]]-Tabla1[[#This Row],[REQUISICIONES FEBRERO 2021]]</f>
        <v>15</v>
      </c>
      <c r="P488" s="74">
        <f>+Tabla1[[#This Row],[STOCK  FEBRERO 2021]]-Tabla1[[#This Row],[REQUISICIONES MARZO 2021]]+Tabla1[[#This Row],[ENTRADAS MARZO 2021]]</f>
        <v>15</v>
      </c>
      <c r="Q488" s="75" t="s">
        <v>12</v>
      </c>
      <c r="R488" s="78">
        <v>46.8</v>
      </c>
      <c r="S488" s="36">
        <f t="shared" si="18"/>
        <v>55.223999999999997</v>
      </c>
      <c r="T488" s="100">
        <f>Tabla1[[#This Row],[STOCK MARZO ]]*Tabla1[[#This Row],[COSTO UNITARIO SIN ITBIS]]</f>
        <v>702</v>
      </c>
    </row>
    <row r="489" spans="1:20" s="9" customFormat="1" x14ac:dyDescent="0.25">
      <c r="A489" s="97">
        <v>89</v>
      </c>
      <c r="B489" s="76">
        <v>43223</v>
      </c>
      <c r="C489" s="14" t="s">
        <v>11</v>
      </c>
      <c r="D489" s="76">
        <v>43223</v>
      </c>
      <c r="E489" s="156"/>
      <c r="F489" s="29">
        <v>44110</v>
      </c>
      <c r="G489" s="33" t="s">
        <v>436</v>
      </c>
      <c r="H489" s="64">
        <v>188</v>
      </c>
      <c r="I489" s="64"/>
      <c r="J489" s="64">
        <f>+'INVENTARIO ENERO-MARZO 2021'!$H489-'INVENTARIO ENERO-MARZO 2021'!$I489</f>
        <v>188</v>
      </c>
      <c r="K489" s="64"/>
      <c r="L489" s="64"/>
      <c r="M489" s="64"/>
      <c r="N489" s="64"/>
      <c r="O489" s="64">
        <f>+Tabla1[[#This Row],[STOCK    FISICO ENERO 2021]]-Tabla1[[#This Row],[REQUISICIONES FEBRERO 2021]]</f>
        <v>188</v>
      </c>
      <c r="P489" s="64">
        <f>+Tabla1[[#This Row],[STOCK  FEBRERO 2021]]-Tabla1[[#This Row],[REQUISICIONES MARZO 2021]]+Tabla1[[#This Row],[ENTRADAS MARZO 2021]]</f>
        <v>188</v>
      </c>
      <c r="Q489" s="31" t="s">
        <v>12</v>
      </c>
      <c r="R489" s="35">
        <v>0</v>
      </c>
      <c r="S489" s="36">
        <f t="shared" si="18"/>
        <v>0</v>
      </c>
      <c r="T489" s="100">
        <f>Tabla1[[#This Row],[STOCK MARZO ]]*Tabla1[[#This Row],[COSTO UNITARIO SIN ITBIS]]</f>
        <v>0</v>
      </c>
    </row>
    <row r="490" spans="1:20" s="9" customFormat="1" x14ac:dyDescent="0.25">
      <c r="A490" s="97">
        <v>90</v>
      </c>
      <c r="B490" s="32">
        <v>44168</v>
      </c>
      <c r="C490" s="29" t="s">
        <v>11</v>
      </c>
      <c r="D490" s="32">
        <v>44153</v>
      </c>
      <c r="E490" s="148"/>
      <c r="F490" s="14" t="s">
        <v>23</v>
      </c>
      <c r="G490" s="77" t="s">
        <v>437</v>
      </c>
      <c r="H490" s="74">
        <v>4</v>
      </c>
      <c r="I490" s="74"/>
      <c r="J490" s="74">
        <f>+'INVENTARIO ENERO-MARZO 2021'!$H490-'INVENTARIO ENERO-MARZO 2021'!$I490</f>
        <v>4</v>
      </c>
      <c r="K490" s="74"/>
      <c r="L490" s="74"/>
      <c r="M490" s="74"/>
      <c r="N490" s="74">
        <v>1</v>
      </c>
      <c r="O490" s="74">
        <f>+Tabla1[[#This Row],[STOCK    FISICO ENERO 2021]]-Tabla1[[#This Row],[REQUISICIONES FEBRERO 2021]]</f>
        <v>4</v>
      </c>
      <c r="P490" s="74">
        <f>+Tabla1[[#This Row],[STOCK  FEBRERO 2021]]-Tabla1[[#This Row],[REQUISICIONES MARZO 2021]]+Tabla1[[#This Row],[ENTRADAS MARZO 2021]]</f>
        <v>3</v>
      </c>
      <c r="Q490" s="75" t="s">
        <v>12</v>
      </c>
      <c r="R490" s="78">
        <v>0</v>
      </c>
      <c r="S490" s="36">
        <f t="shared" si="18"/>
        <v>0</v>
      </c>
      <c r="T490" s="100">
        <f>Tabla1[[#This Row],[STOCK MARZO ]]*Tabla1[[#This Row],[COSTO UNITARIO SIN ITBIS]]</f>
        <v>0</v>
      </c>
    </row>
    <row r="491" spans="1:20" s="9" customFormat="1" x14ac:dyDescent="0.25">
      <c r="A491" s="97">
        <v>91</v>
      </c>
      <c r="B491" s="76">
        <v>44109</v>
      </c>
      <c r="C491" s="14" t="s">
        <v>11</v>
      </c>
      <c r="D491" s="76">
        <v>44109</v>
      </c>
      <c r="E491" s="156"/>
      <c r="F491" s="29" t="s">
        <v>23</v>
      </c>
      <c r="G491" s="33" t="s">
        <v>438</v>
      </c>
      <c r="H491" s="64">
        <v>9</v>
      </c>
      <c r="I491" s="64"/>
      <c r="J491" s="64">
        <f>+'INVENTARIO ENERO-MARZO 2021'!$H491-'INVENTARIO ENERO-MARZO 2021'!$I491</f>
        <v>9</v>
      </c>
      <c r="K491" s="64"/>
      <c r="L491" s="64"/>
      <c r="M491" s="64"/>
      <c r="N491" s="64">
        <v>1</v>
      </c>
      <c r="O491" s="64">
        <f>+Tabla1[[#This Row],[STOCK    FISICO ENERO 2021]]-Tabla1[[#This Row],[REQUISICIONES FEBRERO 2021]]</f>
        <v>9</v>
      </c>
      <c r="P491" s="64">
        <f>+Tabla1[[#This Row],[STOCK  FEBRERO 2021]]-Tabla1[[#This Row],[REQUISICIONES MARZO 2021]]+Tabla1[[#This Row],[ENTRADAS MARZO 2021]]</f>
        <v>8</v>
      </c>
      <c r="Q491" s="31" t="s">
        <v>12</v>
      </c>
      <c r="R491" s="35">
        <v>0</v>
      </c>
      <c r="S491" s="36">
        <f t="shared" si="18"/>
        <v>0</v>
      </c>
      <c r="T491" s="100">
        <f>Tabla1[[#This Row],[STOCK MARZO ]]*Tabla1[[#This Row],[COSTO UNITARIO SIN ITBIS]]</f>
        <v>0</v>
      </c>
    </row>
    <row r="492" spans="1:20" s="9" customFormat="1" x14ac:dyDescent="0.25">
      <c r="A492" s="97">
        <v>92</v>
      </c>
      <c r="B492" s="76">
        <v>42991</v>
      </c>
      <c r="C492" s="14" t="s">
        <v>11</v>
      </c>
      <c r="D492" s="76">
        <v>42991</v>
      </c>
      <c r="E492" s="156"/>
      <c r="F492" s="29">
        <v>1177</v>
      </c>
      <c r="G492" s="33" t="s">
        <v>694</v>
      </c>
      <c r="H492" s="64">
        <v>13</v>
      </c>
      <c r="I492" s="64"/>
      <c r="J492" s="64">
        <f>+'INVENTARIO ENERO-MARZO 2021'!$H492-'INVENTARIO ENERO-MARZO 2021'!$I492</f>
        <v>13</v>
      </c>
      <c r="K492" s="64"/>
      <c r="L492" s="64"/>
      <c r="M492" s="64"/>
      <c r="N492" s="64">
        <f>1+1</f>
        <v>2</v>
      </c>
      <c r="O492" s="64">
        <f>+Tabla1[[#This Row],[STOCK    FISICO ENERO 2021]]-Tabla1[[#This Row],[REQUISICIONES FEBRERO 2021]]</f>
        <v>13</v>
      </c>
      <c r="P492" s="64">
        <f>+Tabla1[[#This Row],[STOCK  FEBRERO 2021]]-Tabla1[[#This Row],[REQUISICIONES MARZO 2021]]+Tabla1[[#This Row],[ENTRADAS MARZO 2021]]</f>
        <v>11</v>
      </c>
      <c r="Q492" s="31" t="s">
        <v>12</v>
      </c>
      <c r="R492" s="35">
        <v>413</v>
      </c>
      <c r="S492" s="36">
        <f t="shared" si="18"/>
        <v>487.34000000000003</v>
      </c>
      <c r="T492" s="100">
        <f>Tabla1[[#This Row],[STOCK MARZO ]]*Tabla1[[#This Row],[COSTO UNITARIO SIN ITBIS]]</f>
        <v>4543</v>
      </c>
    </row>
    <row r="493" spans="1:20" s="9" customFormat="1" x14ac:dyDescent="0.25">
      <c r="A493" s="97">
        <v>93</v>
      </c>
      <c r="B493" s="32">
        <v>44110</v>
      </c>
      <c r="C493" s="29" t="s">
        <v>11</v>
      </c>
      <c r="D493" s="32">
        <v>44110</v>
      </c>
      <c r="E493" s="148"/>
      <c r="F493" s="14">
        <v>1715</v>
      </c>
      <c r="G493" s="77" t="s">
        <v>439</v>
      </c>
      <c r="H493" s="74">
        <v>10</v>
      </c>
      <c r="I493" s="74"/>
      <c r="J493" s="74">
        <f>+'INVENTARIO ENERO-MARZO 2021'!$H493-'INVENTARIO ENERO-MARZO 2021'!$I493</f>
        <v>10</v>
      </c>
      <c r="K493" s="74"/>
      <c r="L493" s="74"/>
      <c r="M493" s="74"/>
      <c r="N493" s="74"/>
      <c r="O493" s="74">
        <f>+Tabla1[[#This Row],[STOCK    FISICO ENERO 2021]]-Tabla1[[#This Row],[REQUISICIONES FEBRERO 2021]]</f>
        <v>10</v>
      </c>
      <c r="P493" s="74">
        <f>+Tabla1[[#This Row],[STOCK  FEBRERO 2021]]-Tabla1[[#This Row],[REQUISICIONES MARZO 2021]]+Tabla1[[#This Row],[ENTRADAS MARZO 2021]]</f>
        <v>10</v>
      </c>
      <c r="Q493" s="75" t="s">
        <v>12</v>
      </c>
      <c r="R493" s="78">
        <v>168</v>
      </c>
      <c r="S493" s="36">
        <f t="shared" si="18"/>
        <v>198.24</v>
      </c>
      <c r="T493" s="100">
        <f>Tabla1[[#This Row],[STOCK MARZO ]]*Tabla1[[#This Row],[COSTO UNITARIO SIN ITBIS]]</f>
        <v>1680</v>
      </c>
    </row>
    <row r="494" spans="1:20" s="9" customFormat="1" x14ac:dyDescent="0.25">
      <c r="A494" s="97">
        <v>94</v>
      </c>
      <c r="B494" s="76">
        <v>44026</v>
      </c>
      <c r="C494" s="14" t="s">
        <v>11</v>
      </c>
      <c r="D494" s="76">
        <v>44026</v>
      </c>
      <c r="E494" s="156"/>
      <c r="F494" s="14" t="s">
        <v>23</v>
      </c>
      <c r="G494" s="77" t="s">
        <v>440</v>
      </c>
      <c r="H494" s="74">
        <v>10</v>
      </c>
      <c r="I494" s="74"/>
      <c r="J494" s="74">
        <f>+'INVENTARIO ENERO-MARZO 2021'!$H494-'INVENTARIO ENERO-MARZO 2021'!$I494</f>
        <v>10</v>
      </c>
      <c r="K494" s="74"/>
      <c r="L494" s="74"/>
      <c r="M494" s="74"/>
      <c r="N494" s="74"/>
      <c r="O494" s="74">
        <f>+Tabla1[[#This Row],[STOCK    FISICO ENERO 2021]]-Tabla1[[#This Row],[REQUISICIONES FEBRERO 2021]]</f>
        <v>10</v>
      </c>
      <c r="P494" s="74">
        <f>+Tabla1[[#This Row],[STOCK  FEBRERO 2021]]-Tabla1[[#This Row],[REQUISICIONES MARZO 2021]]+Tabla1[[#This Row],[ENTRADAS MARZO 2021]]</f>
        <v>10</v>
      </c>
      <c r="Q494" s="75" t="s">
        <v>12</v>
      </c>
      <c r="R494" s="78">
        <v>708</v>
      </c>
      <c r="S494" s="36">
        <f t="shared" si="18"/>
        <v>835.44</v>
      </c>
      <c r="T494" s="100">
        <f>Tabla1[[#This Row],[STOCK MARZO ]]*Tabla1[[#This Row],[COSTO UNITARIO SIN ITBIS]]</f>
        <v>7080</v>
      </c>
    </row>
    <row r="495" spans="1:20" s="9" customFormat="1" x14ac:dyDescent="0.25">
      <c r="A495" s="97">
        <v>95</v>
      </c>
      <c r="B495" s="32"/>
      <c r="C495" s="14" t="s">
        <v>11</v>
      </c>
      <c r="D495" s="32"/>
      <c r="E495" s="148"/>
      <c r="F495" s="29"/>
      <c r="G495" s="33" t="s">
        <v>693</v>
      </c>
      <c r="H495" s="64">
        <v>1</v>
      </c>
      <c r="I495" s="64"/>
      <c r="J495" s="64">
        <f>+'INVENTARIO ENERO-MARZO 2021'!$H495-'INVENTARIO ENERO-MARZO 2021'!$I495</f>
        <v>1</v>
      </c>
      <c r="K495" s="64"/>
      <c r="L495" s="64"/>
      <c r="M495" s="64"/>
      <c r="N495" s="64"/>
      <c r="O495" s="64">
        <f>+Tabla1[[#This Row],[STOCK    FISICO ENERO 2021]]-Tabla1[[#This Row],[REQUISICIONES FEBRERO 2021]]</f>
        <v>1</v>
      </c>
      <c r="P495" s="64">
        <f>+Tabla1[[#This Row],[STOCK  FEBRERO 2021]]-Tabla1[[#This Row],[REQUISICIONES MARZO 2021]]+Tabla1[[#This Row],[ENTRADAS MARZO 2021]]</f>
        <v>1</v>
      </c>
      <c r="Q495" s="75" t="s">
        <v>12</v>
      </c>
      <c r="R495" s="35"/>
      <c r="S495" s="36"/>
      <c r="T495" s="100">
        <f>Tabla1[[#This Row],[STOCK MARZO ]]*Tabla1[[#This Row],[COSTO UNITARIO SIN ITBIS]]</f>
        <v>0</v>
      </c>
    </row>
    <row r="496" spans="1:20" s="9" customFormat="1" x14ac:dyDescent="0.25">
      <c r="A496" s="97">
        <v>96</v>
      </c>
      <c r="B496" s="32">
        <v>44169</v>
      </c>
      <c r="C496" s="29" t="s">
        <v>11</v>
      </c>
      <c r="D496" s="32">
        <v>44147</v>
      </c>
      <c r="E496" s="148"/>
      <c r="F496" s="29">
        <v>1670</v>
      </c>
      <c r="G496" s="33" t="s">
        <v>441</v>
      </c>
      <c r="H496" s="64">
        <v>36</v>
      </c>
      <c r="I496" s="64"/>
      <c r="J496" s="64">
        <f>+'INVENTARIO ENERO-MARZO 2021'!$H496-'INVENTARIO ENERO-MARZO 2021'!$I496</f>
        <v>36</v>
      </c>
      <c r="K496" s="64"/>
      <c r="L496" s="64"/>
      <c r="M496" s="64"/>
      <c r="N496" s="64"/>
      <c r="O496" s="64">
        <f>+Tabla1[[#This Row],[STOCK    FISICO ENERO 2021]]-Tabla1[[#This Row],[REQUISICIONES FEBRERO 2021]]</f>
        <v>36</v>
      </c>
      <c r="P496" s="64">
        <f>+Tabla1[[#This Row],[STOCK  FEBRERO 2021]]-Tabla1[[#This Row],[REQUISICIONES MARZO 2021]]+Tabla1[[#This Row],[ENTRADAS MARZO 2021]]</f>
        <v>36</v>
      </c>
      <c r="Q496" s="31" t="s">
        <v>12</v>
      </c>
      <c r="R496" s="35">
        <v>3.05</v>
      </c>
      <c r="S496" s="36">
        <f t="shared" ref="S496:S514" si="19">R496*0.18+R496</f>
        <v>3.5989999999999998</v>
      </c>
      <c r="T496" s="100">
        <f>Tabla1[[#This Row],[STOCK MARZO ]]*Tabla1[[#This Row],[COSTO UNITARIO SIN ITBIS]]</f>
        <v>109.8</v>
      </c>
    </row>
    <row r="497" spans="1:20" s="9" customFormat="1" x14ac:dyDescent="0.25">
      <c r="A497" s="97">
        <v>97</v>
      </c>
      <c r="B497" s="76">
        <v>44027</v>
      </c>
      <c r="C497" s="14" t="s">
        <v>11</v>
      </c>
      <c r="D497" s="76">
        <v>44027</v>
      </c>
      <c r="E497" s="156"/>
      <c r="F497" s="14">
        <v>1671</v>
      </c>
      <c r="G497" s="77" t="s">
        <v>442</v>
      </c>
      <c r="H497" s="74">
        <v>24</v>
      </c>
      <c r="I497" s="74"/>
      <c r="J497" s="74">
        <f>+'INVENTARIO ENERO-MARZO 2021'!$H497-'INVENTARIO ENERO-MARZO 2021'!$I497</f>
        <v>24</v>
      </c>
      <c r="K497" s="74"/>
      <c r="L497" s="74"/>
      <c r="M497" s="74"/>
      <c r="N497" s="74">
        <v>1</v>
      </c>
      <c r="O497" s="74">
        <f>+Tabla1[[#This Row],[STOCK    FISICO ENERO 2021]]-Tabla1[[#This Row],[REQUISICIONES FEBRERO 2021]]</f>
        <v>24</v>
      </c>
      <c r="P497" s="74">
        <f>+Tabla1[[#This Row],[STOCK  FEBRERO 2021]]-Tabla1[[#This Row],[REQUISICIONES MARZO 2021]]+Tabla1[[#This Row],[ENTRADAS MARZO 2021]]</f>
        <v>23</v>
      </c>
      <c r="Q497" s="75" t="s">
        <v>12</v>
      </c>
      <c r="R497" s="78">
        <v>3.7</v>
      </c>
      <c r="S497" s="36">
        <f t="shared" si="19"/>
        <v>4.3660000000000005</v>
      </c>
      <c r="T497" s="100">
        <f>Tabla1[[#This Row],[STOCK MARZO ]]*Tabla1[[#This Row],[COSTO UNITARIO SIN ITBIS]]</f>
        <v>85.100000000000009</v>
      </c>
    </row>
    <row r="498" spans="1:20" s="9" customFormat="1" x14ac:dyDescent="0.25">
      <c r="A498" s="97">
        <v>98</v>
      </c>
      <c r="B498" s="32">
        <v>44168</v>
      </c>
      <c r="C498" s="29" t="s">
        <v>11</v>
      </c>
      <c r="D498" s="32">
        <v>44154</v>
      </c>
      <c r="E498" s="148"/>
      <c r="F498" s="14">
        <v>1665</v>
      </c>
      <c r="G498" s="77" t="s">
        <v>443</v>
      </c>
      <c r="H498" s="74">
        <v>20</v>
      </c>
      <c r="I498" s="74"/>
      <c r="J498" s="74">
        <f>+'INVENTARIO ENERO-MARZO 2021'!$H498-'INVENTARIO ENERO-MARZO 2021'!$I498</f>
        <v>20</v>
      </c>
      <c r="K498" s="74"/>
      <c r="L498" s="74"/>
      <c r="M498" s="74"/>
      <c r="N498" s="74"/>
      <c r="O498" s="74">
        <f>+Tabla1[[#This Row],[STOCK    FISICO ENERO 2021]]-Tabla1[[#This Row],[REQUISICIONES FEBRERO 2021]]</f>
        <v>20</v>
      </c>
      <c r="P498" s="74">
        <f>+Tabla1[[#This Row],[STOCK  FEBRERO 2021]]-Tabla1[[#This Row],[REQUISICIONES MARZO 2021]]+Tabla1[[#This Row],[ENTRADAS MARZO 2021]]</f>
        <v>20</v>
      </c>
      <c r="Q498" s="75" t="s">
        <v>12</v>
      </c>
      <c r="R498" s="78">
        <v>19.32</v>
      </c>
      <c r="S498" s="36">
        <f t="shared" si="19"/>
        <v>22.797599999999999</v>
      </c>
      <c r="T498" s="100">
        <f>Tabla1[[#This Row],[STOCK MARZO ]]*Tabla1[[#This Row],[COSTO UNITARIO SIN ITBIS]]</f>
        <v>386.4</v>
      </c>
    </row>
    <row r="499" spans="1:20" s="9" customFormat="1" x14ac:dyDescent="0.25">
      <c r="A499" s="97">
        <v>99</v>
      </c>
      <c r="B499" s="76">
        <v>44026</v>
      </c>
      <c r="C499" s="14" t="s">
        <v>11</v>
      </c>
      <c r="D499" s="76">
        <v>44026</v>
      </c>
      <c r="E499" s="156"/>
      <c r="F499" s="29">
        <v>1663</v>
      </c>
      <c r="G499" s="33" t="s">
        <v>444</v>
      </c>
      <c r="H499" s="64">
        <v>39</v>
      </c>
      <c r="I499" s="64"/>
      <c r="J499" s="64">
        <f>+'INVENTARIO ENERO-MARZO 2021'!$H499-'INVENTARIO ENERO-MARZO 2021'!$I499</f>
        <v>39</v>
      </c>
      <c r="K499" s="64"/>
      <c r="L499" s="64"/>
      <c r="M499" s="64"/>
      <c r="N499" s="64">
        <f>1+1</f>
        <v>2</v>
      </c>
      <c r="O499" s="64">
        <f>+Tabla1[[#This Row],[STOCK    FISICO ENERO 2021]]-Tabla1[[#This Row],[REQUISICIONES FEBRERO 2021]]</f>
        <v>39</v>
      </c>
      <c r="P499" s="64">
        <f>+Tabla1[[#This Row],[STOCK  FEBRERO 2021]]-Tabla1[[#This Row],[REQUISICIONES MARZO 2021]]+Tabla1[[#This Row],[ENTRADAS MARZO 2021]]</f>
        <v>37</v>
      </c>
      <c r="Q499" s="31" t="s">
        <v>12</v>
      </c>
      <c r="R499" s="35">
        <v>13.22</v>
      </c>
      <c r="S499" s="36">
        <f t="shared" si="19"/>
        <v>15.599600000000001</v>
      </c>
      <c r="T499" s="100">
        <f>Tabla1[[#This Row],[STOCK MARZO ]]*Tabla1[[#This Row],[COSTO UNITARIO SIN ITBIS]]</f>
        <v>489.14000000000004</v>
      </c>
    </row>
    <row r="500" spans="1:20" s="9" customFormat="1" x14ac:dyDescent="0.25">
      <c r="A500" s="97">
        <v>100</v>
      </c>
      <c r="B500" s="32">
        <v>44026</v>
      </c>
      <c r="C500" s="29" t="s">
        <v>11</v>
      </c>
      <c r="D500" s="32">
        <v>44026</v>
      </c>
      <c r="E500" s="148"/>
      <c r="F500" s="14">
        <v>1664</v>
      </c>
      <c r="G500" s="77" t="s">
        <v>445</v>
      </c>
      <c r="H500" s="74">
        <v>35</v>
      </c>
      <c r="I500" s="74"/>
      <c r="J500" s="74">
        <f>+'INVENTARIO ENERO-MARZO 2021'!$H500-'INVENTARIO ENERO-MARZO 2021'!$I500</f>
        <v>35</v>
      </c>
      <c r="K500" s="74"/>
      <c r="L500" s="74"/>
      <c r="M500" s="74">
        <v>5</v>
      </c>
      <c r="N500" s="74"/>
      <c r="O500" s="74">
        <f>+Tabla1[[#This Row],[STOCK    FISICO ENERO 2021]]-Tabla1[[#This Row],[REQUISICIONES FEBRERO 2021]]</f>
        <v>30</v>
      </c>
      <c r="P500" s="74">
        <f>+Tabla1[[#This Row],[STOCK  FEBRERO 2021]]-Tabla1[[#This Row],[REQUISICIONES MARZO 2021]]+Tabla1[[#This Row],[ENTRADAS MARZO 2021]]</f>
        <v>30</v>
      </c>
      <c r="Q500" s="75" t="s">
        <v>12</v>
      </c>
      <c r="R500" s="78">
        <v>13.22</v>
      </c>
      <c r="S500" s="36">
        <f t="shared" si="19"/>
        <v>15.599600000000001</v>
      </c>
      <c r="T500" s="100">
        <f>Tabla1[[#This Row],[STOCK MARZO ]]*Tabla1[[#This Row],[COSTO UNITARIO SIN ITBIS]]</f>
        <v>396.6</v>
      </c>
    </row>
    <row r="501" spans="1:20" s="9" customFormat="1" x14ac:dyDescent="0.25">
      <c r="A501" s="97">
        <v>101</v>
      </c>
      <c r="B501" s="32">
        <v>43223</v>
      </c>
      <c r="C501" s="29" t="s">
        <v>11</v>
      </c>
      <c r="D501" s="32">
        <v>43223</v>
      </c>
      <c r="E501" s="148"/>
      <c r="F501" s="14"/>
      <c r="G501" s="77" t="s">
        <v>446</v>
      </c>
      <c r="H501" s="74">
        <v>10</v>
      </c>
      <c r="I501" s="74"/>
      <c r="J501" s="74">
        <f>+'INVENTARIO ENERO-MARZO 2021'!$H501-'INVENTARIO ENERO-MARZO 2021'!$I501</f>
        <v>10</v>
      </c>
      <c r="K501" s="74"/>
      <c r="L501" s="74"/>
      <c r="M501" s="74"/>
      <c r="N501" s="74"/>
      <c r="O501" s="74">
        <f>+Tabla1[[#This Row],[STOCK    FISICO ENERO 2021]]-Tabla1[[#This Row],[REQUISICIONES FEBRERO 2021]]</f>
        <v>10</v>
      </c>
      <c r="P501" s="74">
        <f>+Tabla1[[#This Row],[STOCK  FEBRERO 2021]]-Tabla1[[#This Row],[REQUISICIONES MARZO 2021]]+Tabla1[[#This Row],[ENTRADAS MARZO 2021]]</f>
        <v>10</v>
      </c>
      <c r="Q501" s="31" t="s">
        <v>12</v>
      </c>
      <c r="R501" s="78">
        <v>35.4</v>
      </c>
      <c r="S501" s="36">
        <f t="shared" si="19"/>
        <v>41.771999999999998</v>
      </c>
      <c r="T501" s="100">
        <f>Tabla1[[#This Row],[STOCK MARZO ]]*Tabla1[[#This Row],[COSTO UNITARIO SIN ITBIS]]</f>
        <v>354</v>
      </c>
    </row>
    <row r="502" spans="1:20" s="9" customFormat="1" x14ac:dyDescent="0.25">
      <c r="A502" s="97">
        <v>102</v>
      </c>
      <c r="B502" s="76">
        <v>43223</v>
      </c>
      <c r="C502" s="14" t="s">
        <v>11</v>
      </c>
      <c r="D502" s="76">
        <v>43223</v>
      </c>
      <c r="E502" s="156"/>
      <c r="F502" s="14"/>
      <c r="G502" s="77" t="s">
        <v>447</v>
      </c>
      <c r="H502" s="74">
        <v>4</v>
      </c>
      <c r="I502" s="74"/>
      <c r="J502" s="74">
        <f>+'INVENTARIO ENERO-MARZO 2021'!$H502-'INVENTARIO ENERO-MARZO 2021'!$I502</f>
        <v>4</v>
      </c>
      <c r="K502" s="74"/>
      <c r="L502" s="74"/>
      <c r="M502" s="74"/>
      <c r="N502" s="74"/>
      <c r="O502" s="74">
        <f>+Tabla1[[#This Row],[STOCK    FISICO ENERO 2021]]-Tabla1[[#This Row],[REQUISICIONES FEBRERO 2021]]</f>
        <v>4</v>
      </c>
      <c r="P502" s="74">
        <f>+Tabla1[[#This Row],[STOCK  FEBRERO 2021]]-Tabla1[[#This Row],[REQUISICIONES MARZO 2021]]+Tabla1[[#This Row],[ENTRADAS MARZO 2021]]</f>
        <v>4</v>
      </c>
      <c r="Q502" s="31" t="s">
        <v>12</v>
      </c>
      <c r="R502" s="78">
        <v>35.4</v>
      </c>
      <c r="S502" s="36">
        <f t="shared" si="19"/>
        <v>41.771999999999998</v>
      </c>
      <c r="T502" s="100">
        <f>Tabla1[[#This Row],[STOCK MARZO ]]*Tabla1[[#This Row],[COSTO UNITARIO SIN ITBIS]]</f>
        <v>141.6</v>
      </c>
    </row>
    <row r="503" spans="1:20" s="9" customFormat="1" x14ac:dyDescent="0.25">
      <c r="A503" s="97">
        <v>103</v>
      </c>
      <c r="B503" s="32">
        <v>43223</v>
      </c>
      <c r="C503" s="29" t="s">
        <v>11</v>
      </c>
      <c r="D503" s="32">
        <v>43223</v>
      </c>
      <c r="E503" s="148"/>
      <c r="F503" s="14"/>
      <c r="G503" s="77" t="s">
        <v>448</v>
      </c>
      <c r="H503" s="74">
        <v>4</v>
      </c>
      <c r="I503" s="74"/>
      <c r="J503" s="74">
        <f>+'INVENTARIO ENERO-MARZO 2021'!$H503-'INVENTARIO ENERO-MARZO 2021'!$I503</f>
        <v>4</v>
      </c>
      <c r="K503" s="74"/>
      <c r="L503" s="74"/>
      <c r="M503" s="74"/>
      <c r="N503" s="74"/>
      <c r="O503" s="74">
        <f>+Tabla1[[#This Row],[STOCK    FISICO ENERO 2021]]-Tabla1[[#This Row],[REQUISICIONES FEBRERO 2021]]</f>
        <v>4</v>
      </c>
      <c r="P503" s="74">
        <f>+Tabla1[[#This Row],[STOCK  FEBRERO 2021]]-Tabla1[[#This Row],[REQUISICIONES MARZO 2021]]+Tabla1[[#This Row],[ENTRADAS MARZO 2021]]</f>
        <v>4</v>
      </c>
      <c r="Q503" s="31" t="s">
        <v>12</v>
      </c>
      <c r="R503" s="78">
        <v>1091.5</v>
      </c>
      <c r="S503" s="36">
        <f t="shared" si="19"/>
        <v>1287.97</v>
      </c>
      <c r="T503" s="100">
        <f>Tabla1[[#This Row],[STOCK MARZO ]]*Tabla1[[#This Row],[COSTO UNITARIO SIN ITBIS]]</f>
        <v>4366</v>
      </c>
    </row>
    <row r="504" spans="1:20" s="9" customFormat="1" ht="13.5" customHeight="1" x14ac:dyDescent="0.25">
      <c r="A504" s="97">
        <v>104</v>
      </c>
      <c r="B504" s="32">
        <v>44168</v>
      </c>
      <c r="C504" s="29" t="s">
        <v>11</v>
      </c>
      <c r="D504" s="32">
        <v>44153</v>
      </c>
      <c r="E504" s="148"/>
      <c r="F504" s="29"/>
      <c r="G504" s="33" t="s">
        <v>449</v>
      </c>
      <c r="H504" s="64">
        <v>4</v>
      </c>
      <c r="I504" s="64"/>
      <c r="J504" s="64">
        <f>+'INVENTARIO ENERO-MARZO 2021'!$H504-'INVENTARIO ENERO-MARZO 2021'!$I504</f>
        <v>4</v>
      </c>
      <c r="K504" s="64"/>
      <c r="L504" s="64"/>
      <c r="M504" s="64"/>
      <c r="N504" s="64"/>
      <c r="O504" s="64">
        <f>+Tabla1[[#This Row],[STOCK    FISICO ENERO 2021]]-Tabla1[[#This Row],[REQUISICIONES FEBRERO 2021]]</f>
        <v>4</v>
      </c>
      <c r="P504" s="64">
        <f>+Tabla1[[#This Row],[STOCK  FEBRERO 2021]]-Tabla1[[#This Row],[REQUISICIONES MARZO 2021]]+Tabla1[[#This Row],[ENTRADAS MARZO 2021]]</f>
        <v>4</v>
      </c>
      <c r="Q504" s="31" t="s">
        <v>12</v>
      </c>
      <c r="R504" s="35">
        <v>371.7</v>
      </c>
      <c r="S504" s="36">
        <f t="shared" si="19"/>
        <v>438.60599999999999</v>
      </c>
      <c r="T504" s="100">
        <f>Tabla1[[#This Row],[STOCK MARZO ]]*Tabla1[[#This Row],[COSTO UNITARIO SIN ITBIS]]</f>
        <v>1486.8</v>
      </c>
    </row>
    <row r="505" spans="1:20" s="9" customFormat="1" x14ac:dyDescent="0.25">
      <c r="A505" s="97">
        <v>105</v>
      </c>
      <c r="B505" s="32">
        <v>44168</v>
      </c>
      <c r="C505" s="29" t="s">
        <v>11</v>
      </c>
      <c r="D505" s="32">
        <v>44153</v>
      </c>
      <c r="E505" s="148"/>
      <c r="F505" s="29">
        <v>1720</v>
      </c>
      <c r="G505" s="33" t="s">
        <v>450</v>
      </c>
      <c r="H505" s="64">
        <v>16</v>
      </c>
      <c r="I505" s="64"/>
      <c r="J505" s="64">
        <f>+'INVENTARIO ENERO-MARZO 2021'!$H505-'INVENTARIO ENERO-MARZO 2021'!$I505</f>
        <v>16</v>
      </c>
      <c r="K505" s="64"/>
      <c r="L505" s="64"/>
      <c r="M505" s="64"/>
      <c r="N505" s="64"/>
      <c r="O505" s="64">
        <f>+Tabla1[[#This Row],[STOCK    FISICO ENERO 2021]]-Tabla1[[#This Row],[REQUISICIONES FEBRERO 2021]]</f>
        <v>16</v>
      </c>
      <c r="P505" s="64">
        <f>+Tabla1[[#This Row],[STOCK  FEBRERO 2021]]-Tabla1[[#This Row],[REQUISICIONES MARZO 2021]]+Tabla1[[#This Row],[ENTRADAS MARZO 2021]]</f>
        <v>16</v>
      </c>
      <c r="Q505" s="31" t="s">
        <v>12</v>
      </c>
      <c r="R505" s="35">
        <v>327.22000000000003</v>
      </c>
      <c r="S505" s="36">
        <f t="shared" si="19"/>
        <v>386.11960000000005</v>
      </c>
      <c r="T505" s="100">
        <f>Tabla1[[#This Row],[STOCK MARZO ]]*Tabla1[[#This Row],[COSTO UNITARIO SIN ITBIS]]</f>
        <v>5235.5200000000004</v>
      </c>
    </row>
    <row r="506" spans="1:20" s="9" customFormat="1" x14ac:dyDescent="0.25">
      <c r="A506" s="97">
        <v>106</v>
      </c>
      <c r="B506" s="76">
        <v>44027</v>
      </c>
      <c r="C506" s="14" t="s">
        <v>11</v>
      </c>
      <c r="D506" s="76">
        <v>44027</v>
      </c>
      <c r="E506" s="156"/>
      <c r="F506" s="14">
        <v>1716</v>
      </c>
      <c r="G506" s="77" t="s">
        <v>451</v>
      </c>
      <c r="H506" s="74">
        <v>36</v>
      </c>
      <c r="I506" s="74"/>
      <c r="J506" s="74">
        <f>+'INVENTARIO ENERO-MARZO 2021'!$H506-'INVENTARIO ENERO-MARZO 2021'!$I506</f>
        <v>36</v>
      </c>
      <c r="K506" s="74"/>
      <c r="L506" s="74"/>
      <c r="M506" s="74"/>
      <c r="N506" s="74"/>
      <c r="O506" s="74">
        <f>+Tabla1[[#This Row],[STOCK    FISICO ENERO 2021]]-Tabla1[[#This Row],[REQUISICIONES FEBRERO 2021]]</f>
        <v>36</v>
      </c>
      <c r="P506" s="74">
        <f>+Tabla1[[#This Row],[STOCK  FEBRERO 2021]]-Tabla1[[#This Row],[REQUISICIONES MARZO 2021]]+Tabla1[[#This Row],[ENTRADAS MARZO 2021]]</f>
        <v>36</v>
      </c>
      <c r="Q506" s="75" t="s">
        <v>12</v>
      </c>
      <c r="R506" s="78">
        <v>96.61</v>
      </c>
      <c r="S506" s="36">
        <f t="shared" si="19"/>
        <v>113.99979999999999</v>
      </c>
      <c r="T506" s="100">
        <f>Tabla1[[#This Row],[STOCK MARZO ]]*Tabla1[[#This Row],[COSTO UNITARIO SIN ITBIS]]</f>
        <v>3477.96</v>
      </c>
    </row>
    <row r="507" spans="1:20" s="9" customFormat="1" x14ac:dyDescent="0.25">
      <c r="A507" s="97">
        <v>107</v>
      </c>
      <c r="B507" s="32">
        <v>44027</v>
      </c>
      <c r="C507" s="29" t="s">
        <v>11</v>
      </c>
      <c r="D507" s="32">
        <v>44027</v>
      </c>
      <c r="E507" s="148"/>
      <c r="F507" s="29">
        <v>1718</v>
      </c>
      <c r="G507" s="33" t="s">
        <v>452</v>
      </c>
      <c r="H507" s="64">
        <v>9</v>
      </c>
      <c r="I507" s="64"/>
      <c r="J507" s="64">
        <f>+'INVENTARIO ENERO-MARZO 2021'!$H507-'INVENTARIO ENERO-MARZO 2021'!$I507</f>
        <v>9</v>
      </c>
      <c r="K507" s="64"/>
      <c r="L507" s="64"/>
      <c r="M507" s="64"/>
      <c r="N507" s="64"/>
      <c r="O507" s="64">
        <f>+Tabla1[[#This Row],[STOCK    FISICO ENERO 2021]]-Tabla1[[#This Row],[REQUISICIONES FEBRERO 2021]]</f>
        <v>9</v>
      </c>
      <c r="P507" s="64">
        <f>+Tabla1[[#This Row],[STOCK  FEBRERO 2021]]-Tabla1[[#This Row],[REQUISICIONES MARZO 2021]]+Tabla1[[#This Row],[ENTRADAS MARZO 2021]]</f>
        <v>9</v>
      </c>
      <c r="Q507" s="31" t="s">
        <v>12</v>
      </c>
      <c r="R507" s="35">
        <v>279.66000000000003</v>
      </c>
      <c r="S507" s="36">
        <f t="shared" si="19"/>
        <v>329.99880000000002</v>
      </c>
      <c r="T507" s="100">
        <f>Tabla1[[#This Row],[STOCK MARZO ]]*Tabla1[[#This Row],[COSTO UNITARIO SIN ITBIS]]</f>
        <v>2516.94</v>
      </c>
    </row>
    <row r="508" spans="1:20" s="9" customFormat="1" x14ac:dyDescent="0.25">
      <c r="A508" s="97">
        <v>108</v>
      </c>
      <c r="B508" s="76">
        <v>44027</v>
      </c>
      <c r="C508" s="14" t="s">
        <v>11</v>
      </c>
      <c r="D508" s="76">
        <v>44027</v>
      </c>
      <c r="E508" s="156"/>
      <c r="F508" s="14">
        <v>1717</v>
      </c>
      <c r="G508" s="77" t="s">
        <v>453</v>
      </c>
      <c r="H508" s="74">
        <v>29</v>
      </c>
      <c r="I508" s="74"/>
      <c r="J508" s="74">
        <f>+'INVENTARIO ENERO-MARZO 2021'!$H508-'INVENTARIO ENERO-MARZO 2021'!$I508</f>
        <v>29</v>
      </c>
      <c r="K508" s="74"/>
      <c r="L508" s="74"/>
      <c r="M508" s="74"/>
      <c r="N508" s="74"/>
      <c r="O508" s="74">
        <f>+Tabla1[[#This Row],[STOCK    FISICO ENERO 2021]]-Tabla1[[#This Row],[REQUISICIONES FEBRERO 2021]]</f>
        <v>29</v>
      </c>
      <c r="P508" s="74">
        <f>+Tabla1[[#This Row],[STOCK  FEBRERO 2021]]-Tabla1[[#This Row],[REQUISICIONES MARZO 2021]]+Tabla1[[#This Row],[ENTRADAS MARZO 2021]]</f>
        <v>29</v>
      </c>
      <c r="Q508" s="75" t="s">
        <v>12</v>
      </c>
      <c r="R508" s="78">
        <v>122.03</v>
      </c>
      <c r="S508" s="36">
        <f t="shared" si="19"/>
        <v>143.99539999999999</v>
      </c>
      <c r="T508" s="100">
        <f>Tabla1[[#This Row],[STOCK MARZO ]]*Tabla1[[#This Row],[COSTO UNITARIO SIN ITBIS]]</f>
        <v>3538.87</v>
      </c>
    </row>
    <row r="509" spans="1:20" s="9" customFormat="1" x14ac:dyDescent="0.25">
      <c r="A509" s="97">
        <v>109</v>
      </c>
      <c r="B509" s="32">
        <v>44026</v>
      </c>
      <c r="C509" s="29" t="s">
        <v>11</v>
      </c>
      <c r="D509" s="32">
        <v>44026</v>
      </c>
      <c r="E509" s="148"/>
      <c r="F509" s="29">
        <v>1654</v>
      </c>
      <c r="G509" s="33" t="s">
        <v>454</v>
      </c>
      <c r="H509" s="64">
        <v>6</v>
      </c>
      <c r="I509" s="64"/>
      <c r="J509" s="64">
        <f>+'INVENTARIO ENERO-MARZO 2021'!$H509-'INVENTARIO ENERO-MARZO 2021'!$I509</f>
        <v>6</v>
      </c>
      <c r="K509" s="64"/>
      <c r="L509" s="64"/>
      <c r="M509" s="64"/>
      <c r="N509" s="64"/>
      <c r="O509" s="64">
        <f>+Tabla1[[#This Row],[STOCK    FISICO ENERO 2021]]-Tabla1[[#This Row],[REQUISICIONES FEBRERO 2021]]</f>
        <v>6</v>
      </c>
      <c r="P509" s="64">
        <f>+Tabla1[[#This Row],[STOCK  FEBRERO 2021]]-Tabla1[[#This Row],[REQUISICIONES MARZO 2021]]+Tabla1[[#This Row],[ENTRADAS MARZO 2021]]</f>
        <v>6</v>
      </c>
      <c r="Q509" s="31" t="s">
        <v>12</v>
      </c>
      <c r="R509" s="35">
        <v>46.57</v>
      </c>
      <c r="S509" s="36">
        <f t="shared" si="19"/>
        <v>54.952600000000004</v>
      </c>
      <c r="T509" s="100">
        <f>Tabla1[[#This Row],[STOCK MARZO ]]*Tabla1[[#This Row],[COSTO UNITARIO SIN ITBIS]]</f>
        <v>279.42</v>
      </c>
    </row>
    <row r="510" spans="1:20" s="9" customFormat="1" x14ac:dyDescent="0.25">
      <c r="A510" s="97">
        <v>110</v>
      </c>
      <c r="B510" s="76">
        <v>44027</v>
      </c>
      <c r="C510" s="14" t="s">
        <v>11</v>
      </c>
      <c r="D510" s="76">
        <v>44027</v>
      </c>
      <c r="E510" s="156"/>
      <c r="F510" s="14">
        <v>1705</v>
      </c>
      <c r="G510" s="77" t="s">
        <v>455</v>
      </c>
      <c r="H510" s="74">
        <v>3</v>
      </c>
      <c r="I510" s="74"/>
      <c r="J510" s="74">
        <f>+'INVENTARIO ENERO-MARZO 2021'!$H510-'INVENTARIO ENERO-MARZO 2021'!$I510</f>
        <v>3</v>
      </c>
      <c r="K510" s="74"/>
      <c r="L510" s="74"/>
      <c r="M510" s="74"/>
      <c r="N510" s="74"/>
      <c r="O510" s="74">
        <f>+Tabla1[[#This Row],[STOCK    FISICO ENERO 2021]]-Tabla1[[#This Row],[REQUISICIONES FEBRERO 2021]]</f>
        <v>3</v>
      </c>
      <c r="P510" s="74">
        <f>+Tabla1[[#This Row],[STOCK  FEBRERO 2021]]-Tabla1[[#This Row],[REQUISICIONES MARZO 2021]]+Tabla1[[#This Row],[ENTRADAS MARZO 2021]]</f>
        <v>3</v>
      </c>
      <c r="Q510" s="75" t="s">
        <v>12</v>
      </c>
      <c r="R510" s="78">
        <v>1830.51</v>
      </c>
      <c r="S510" s="36">
        <f t="shared" si="19"/>
        <v>2160.0018</v>
      </c>
      <c r="T510" s="100">
        <f>Tabla1[[#This Row],[STOCK MARZO ]]*Tabla1[[#This Row],[COSTO UNITARIO SIN ITBIS]]</f>
        <v>5491.53</v>
      </c>
    </row>
    <row r="511" spans="1:20" s="9" customFormat="1" x14ac:dyDescent="0.25">
      <c r="A511" s="97">
        <v>111</v>
      </c>
      <c r="B511" s="76">
        <v>44027</v>
      </c>
      <c r="C511" s="14" t="s">
        <v>11</v>
      </c>
      <c r="D511" s="76">
        <v>44027</v>
      </c>
      <c r="E511" s="156"/>
      <c r="F511" s="14">
        <v>1706</v>
      </c>
      <c r="G511" s="77" t="s">
        <v>695</v>
      </c>
      <c r="H511" s="74">
        <v>28</v>
      </c>
      <c r="I511" s="74"/>
      <c r="J511" s="74">
        <f>+'INVENTARIO ENERO-MARZO 2021'!$H511-'INVENTARIO ENERO-MARZO 2021'!$I511</f>
        <v>28</v>
      </c>
      <c r="K511" s="74"/>
      <c r="L511" s="74"/>
      <c r="M511" s="74"/>
      <c r="N511" s="74"/>
      <c r="O511" s="74">
        <f>+Tabla1[[#This Row],[STOCK    FISICO ENERO 2021]]-Tabla1[[#This Row],[REQUISICIONES FEBRERO 2021]]</f>
        <v>28</v>
      </c>
      <c r="P511" s="74">
        <f>+Tabla1[[#This Row],[STOCK  FEBRERO 2021]]-Tabla1[[#This Row],[REQUISICIONES MARZO 2021]]+Tabla1[[#This Row],[ENTRADAS MARZO 2021]]</f>
        <v>28</v>
      </c>
      <c r="Q511" s="75" t="s">
        <v>12</v>
      </c>
      <c r="R511" s="78">
        <v>522</v>
      </c>
      <c r="S511" s="36">
        <f t="shared" si="19"/>
        <v>615.96</v>
      </c>
      <c r="T511" s="100">
        <f>Tabla1[[#This Row],[STOCK MARZO ]]*Tabla1[[#This Row],[COSTO UNITARIO SIN ITBIS]]</f>
        <v>14616</v>
      </c>
    </row>
    <row r="512" spans="1:20" s="9" customFormat="1" x14ac:dyDescent="0.25">
      <c r="A512" s="97">
        <v>112</v>
      </c>
      <c r="B512" s="32">
        <v>44027</v>
      </c>
      <c r="C512" s="29" t="s">
        <v>11</v>
      </c>
      <c r="D512" s="32">
        <v>44027</v>
      </c>
      <c r="E512" s="148"/>
      <c r="F512" s="29">
        <v>1708</v>
      </c>
      <c r="G512" s="33" t="s">
        <v>456</v>
      </c>
      <c r="H512" s="64">
        <v>2</v>
      </c>
      <c r="I512" s="64"/>
      <c r="J512" s="64">
        <f>+'INVENTARIO ENERO-MARZO 2021'!$H512-'INVENTARIO ENERO-MARZO 2021'!$I512</f>
        <v>2</v>
      </c>
      <c r="K512" s="64"/>
      <c r="L512" s="64"/>
      <c r="M512" s="64"/>
      <c r="N512" s="64"/>
      <c r="O512" s="64">
        <f>+Tabla1[[#This Row],[STOCK    FISICO ENERO 2021]]-Tabla1[[#This Row],[REQUISICIONES FEBRERO 2021]]</f>
        <v>2</v>
      </c>
      <c r="P512" s="64">
        <f>+Tabla1[[#This Row],[STOCK  FEBRERO 2021]]-Tabla1[[#This Row],[REQUISICIONES MARZO 2021]]+Tabla1[[#This Row],[ENTRADAS MARZO 2021]]</f>
        <v>2</v>
      </c>
      <c r="Q512" s="31" t="s">
        <v>12</v>
      </c>
      <c r="R512" s="35">
        <v>4983.05</v>
      </c>
      <c r="S512" s="36">
        <f t="shared" si="19"/>
        <v>5879.9989999999998</v>
      </c>
      <c r="T512" s="100">
        <f>Tabla1[[#This Row],[STOCK MARZO ]]*Tabla1[[#This Row],[COSTO UNITARIO SIN ITBIS]]</f>
        <v>9966.1</v>
      </c>
    </row>
    <row r="513" spans="1:20" s="9" customFormat="1" x14ac:dyDescent="0.25">
      <c r="A513" s="97">
        <v>113</v>
      </c>
      <c r="B513" s="76">
        <v>44026</v>
      </c>
      <c r="C513" s="14" t="s">
        <v>11</v>
      </c>
      <c r="D513" s="76">
        <v>44026</v>
      </c>
      <c r="E513" s="156"/>
      <c r="F513" s="14">
        <v>1668</v>
      </c>
      <c r="G513" s="77" t="s">
        <v>457</v>
      </c>
      <c r="H513" s="74">
        <v>13</v>
      </c>
      <c r="I513" s="74"/>
      <c r="J513" s="74">
        <f>+'INVENTARIO ENERO-MARZO 2021'!$H513-'INVENTARIO ENERO-MARZO 2021'!$I513</f>
        <v>13</v>
      </c>
      <c r="K513" s="74"/>
      <c r="L513" s="74"/>
      <c r="M513" s="74"/>
      <c r="N513" s="74">
        <v>2</v>
      </c>
      <c r="O513" s="74">
        <f>+Tabla1[[#This Row],[STOCK    FISICO ENERO 2021]]-Tabla1[[#This Row],[REQUISICIONES FEBRERO 2021]]</f>
        <v>13</v>
      </c>
      <c r="P513" s="74">
        <f>+Tabla1[[#This Row],[STOCK  FEBRERO 2021]]-Tabla1[[#This Row],[REQUISICIONES MARZO 2021]]+Tabla1[[#This Row],[ENTRADAS MARZO 2021]]</f>
        <v>11</v>
      </c>
      <c r="Q513" s="75" t="s">
        <v>12</v>
      </c>
      <c r="R513" s="78">
        <v>38.64</v>
      </c>
      <c r="S513" s="36">
        <f t="shared" si="19"/>
        <v>45.595199999999998</v>
      </c>
      <c r="T513" s="100">
        <f>Tabla1[[#This Row],[STOCK MARZO ]]*Tabla1[[#This Row],[COSTO UNITARIO SIN ITBIS]]</f>
        <v>425.04</v>
      </c>
    </row>
    <row r="514" spans="1:20" s="9" customFormat="1" x14ac:dyDescent="0.25">
      <c r="A514" s="97">
        <v>114</v>
      </c>
      <c r="B514" s="32">
        <v>44026</v>
      </c>
      <c r="C514" s="29" t="s">
        <v>11</v>
      </c>
      <c r="D514" s="32">
        <v>44026</v>
      </c>
      <c r="E514" s="148"/>
      <c r="F514" s="29">
        <v>1669</v>
      </c>
      <c r="G514" s="33" t="s">
        <v>458</v>
      </c>
      <c r="H514" s="64">
        <v>27</v>
      </c>
      <c r="I514" s="64"/>
      <c r="J514" s="64">
        <f>+'INVENTARIO ENERO-MARZO 2021'!$H514-'INVENTARIO ENERO-MARZO 2021'!$I514</f>
        <v>27</v>
      </c>
      <c r="K514" s="64"/>
      <c r="L514" s="64"/>
      <c r="M514" s="64"/>
      <c r="N514" s="64"/>
      <c r="O514" s="64">
        <f>+Tabla1[[#This Row],[STOCK    FISICO ENERO 2021]]-Tabla1[[#This Row],[REQUISICIONES FEBRERO 2021]]</f>
        <v>27</v>
      </c>
      <c r="P514" s="64">
        <f>+Tabla1[[#This Row],[STOCK  FEBRERO 2021]]-Tabla1[[#This Row],[REQUISICIONES MARZO 2021]]+Tabla1[[#This Row],[ENTRADAS MARZO 2021]]</f>
        <v>27</v>
      </c>
      <c r="Q514" s="31" t="s">
        <v>12</v>
      </c>
      <c r="R514" s="35">
        <v>69.150000000000006</v>
      </c>
      <c r="S514" s="36">
        <f t="shared" si="19"/>
        <v>81.597000000000008</v>
      </c>
      <c r="T514" s="100">
        <f>Tabla1[[#This Row],[STOCK MARZO ]]*Tabla1[[#This Row],[COSTO UNITARIO SIN ITBIS]]</f>
        <v>1867.0500000000002</v>
      </c>
    </row>
    <row r="515" spans="1:20" s="9" customFormat="1" x14ac:dyDescent="0.25">
      <c r="A515" s="97">
        <v>115</v>
      </c>
      <c r="B515" s="32"/>
      <c r="C515" s="29" t="s">
        <v>11</v>
      </c>
      <c r="D515" s="32"/>
      <c r="E515" s="148"/>
      <c r="F515" s="29"/>
      <c r="G515" s="33" t="s">
        <v>696</v>
      </c>
      <c r="H515" s="64">
        <v>1</v>
      </c>
      <c r="I515" s="64"/>
      <c r="J515" s="64">
        <f>+'INVENTARIO ENERO-MARZO 2021'!$H515-'INVENTARIO ENERO-MARZO 2021'!$I515</f>
        <v>1</v>
      </c>
      <c r="K515" s="64"/>
      <c r="L515" s="64"/>
      <c r="M515" s="64"/>
      <c r="N515" s="64"/>
      <c r="O515" s="64">
        <f>+Tabla1[[#This Row],[STOCK    FISICO ENERO 2021]]-Tabla1[[#This Row],[REQUISICIONES FEBRERO 2021]]</f>
        <v>1</v>
      </c>
      <c r="P515" s="64">
        <f>+Tabla1[[#This Row],[STOCK  FEBRERO 2021]]-Tabla1[[#This Row],[REQUISICIONES MARZO 2021]]+Tabla1[[#This Row],[ENTRADAS MARZO 2021]]</f>
        <v>1</v>
      </c>
      <c r="Q515" s="31" t="s">
        <v>12</v>
      </c>
      <c r="R515" s="35"/>
      <c r="S515" s="36"/>
      <c r="T515" s="100">
        <f>Tabla1[[#This Row],[STOCK MARZO ]]*Tabla1[[#This Row],[COSTO UNITARIO SIN ITBIS]]</f>
        <v>0</v>
      </c>
    </row>
    <row r="516" spans="1:20" s="9" customFormat="1" x14ac:dyDescent="0.25">
      <c r="A516" s="97">
        <v>116</v>
      </c>
      <c r="B516" s="76">
        <v>44109</v>
      </c>
      <c r="C516" s="14" t="s">
        <v>11</v>
      </c>
      <c r="D516" s="76">
        <v>44109</v>
      </c>
      <c r="E516" s="156"/>
      <c r="F516" s="14" t="s">
        <v>23</v>
      </c>
      <c r="G516" s="77" t="s">
        <v>459</v>
      </c>
      <c r="H516" s="74">
        <v>9</v>
      </c>
      <c r="I516" s="74"/>
      <c r="J516" s="74">
        <f>+'INVENTARIO ENERO-MARZO 2021'!$H516-'INVENTARIO ENERO-MARZO 2021'!$I516</f>
        <v>9</v>
      </c>
      <c r="K516" s="74"/>
      <c r="L516" s="74"/>
      <c r="M516" s="74"/>
      <c r="N516" s="74"/>
      <c r="O516" s="74">
        <f>+Tabla1[[#This Row],[STOCK    FISICO ENERO 2021]]-Tabla1[[#This Row],[REQUISICIONES FEBRERO 2021]]</f>
        <v>9</v>
      </c>
      <c r="P516" s="74">
        <f>+Tabla1[[#This Row],[STOCK  FEBRERO 2021]]-Tabla1[[#This Row],[REQUISICIONES MARZO 2021]]+Tabla1[[#This Row],[ENTRADAS MARZO 2021]]</f>
        <v>9</v>
      </c>
      <c r="Q516" s="31" t="s">
        <v>12</v>
      </c>
      <c r="R516" s="78">
        <v>193.22</v>
      </c>
      <c r="S516" s="36">
        <f>R516*0.18+R516</f>
        <v>227.99959999999999</v>
      </c>
      <c r="T516" s="100">
        <f>Tabla1[[#This Row],[STOCK MARZO ]]*Tabla1[[#This Row],[COSTO UNITARIO SIN ITBIS]]</f>
        <v>1738.98</v>
      </c>
    </row>
    <row r="517" spans="1:20" s="9" customFormat="1" x14ac:dyDescent="0.25">
      <c r="A517" s="97">
        <v>117</v>
      </c>
      <c r="B517" s="32">
        <v>44109</v>
      </c>
      <c r="C517" s="29" t="s">
        <v>11</v>
      </c>
      <c r="D517" s="32">
        <v>44109</v>
      </c>
      <c r="E517" s="148"/>
      <c r="F517" s="29" t="s">
        <v>23</v>
      </c>
      <c r="G517" s="33" t="s">
        <v>460</v>
      </c>
      <c r="H517" s="64">
        <v>1</v>
      </c>
      <c r="I517" s="64"/>
      <c r="J517" s="64">
        <f>+'INVENTARIO ENERO-MARZO 2021'!$H517-'INVENTARIO ENERO-MARZO 2021'!$I517</f>
        <v>1</v>
      </c>
      <c r="K517" s="64"/>
      <c r="L517" s="64"/>
      <c r="M517" s="64"/>
      <c r="N517" s="64"/>
      <c r="O517" s="64">
        <f>+Tabla1[[#This Row],[STOCK    FISICO ENERO 2021]]-Tabla1[[#This Row],[REQUISICIONES FEBRERO 2021]]</f>
        <v>1</v>
      </c>
      <c r="P517" s="64">
        <f>+Tabla1[[#This Row],[STOCK  FEBRERO 2021]]-Tabla1[[#This Row],[REQUISICIONES MARZO 2021]]+Tabla1[[#This Row],[ENTRADAS MARZO 2021]]</f>
        <v>1</v>
      </c>
      <c r="Q517" s="31" t="s">
        <v>12</v>
      </c>
      <c r="R517" s="35">
        <v>38.64</v>
      </c>
      <c r="S517" s="36">
        <f>R517*0.18+R517</f>
        <v>45.595199999999998</v>
      </c>
      <c r="T517" s="100">
        <f>Tabla1[[#This Row],[STOCK MARZO ]]*Tabla1[[#This Row],[COSTO UNITARIO SIN ITBIS]]</f>
        <v>38.64</v>
      </c>
    </row>
    <row r="518" spans="1:20" s="9" customFormat="1" ht="15.75" thickBot="1" x14ac:dyDescent="0.3">
      <c r="A518" s="57"/>
      <c r="B518" s="57"/>
      <c r="C518" s="57"/>
      <c r="D518" s="57"/>
      <c r="E518" s="152"/>
      <c r="F518" s="57"/>
      <c r="G518" s="57"/>
      <c r="H518" s="58"/>
      <c r="I518" s="58"/>
      <c r="J518" s="58">
        <f>+'INVENTARIO ENERO-MARZO 2021'!$H518-'INVENTARIO ENERO-MARZO 2021'!$I518</f>
        <v>0</v>
      </c>
      <c r="K518" s="58"/>
      <c r="L518" s="58"/>
      <c r="M518" s="58"/>
      <c r="N518" s="58"/>
      <c r="O518" s="58"/>
      <c r="P518" s="58"/>
      <c r="Q518" s="57"/>
      <c r="R518" s="59"/>
      <c r="S518" s="59" t="s">
        <v>767</v>
      </c>
      <c r="T518" s="102">
        <f>SUM(T401:T517)</f>
        <v>360064.23</v>
      </c>
    </row>
    <row r="519" spans="1:20" s="9" customFormat="1" ht="15.75" thickTop="1" x14ac:dyDescent="0.25">
      <c r="A519" s="62" t="s">
        <v>461</v>
      </c>
      <c r="B519" s="62"/>
      <c r="C519" s="62"/>
      <c r="D519" s="62"/>
      <c r="E519" s="103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103"/>
    </row>
    <row r="520" spans="1:20" s="9" customFormat="1" ht="12" customHeight="1" x14ac:dyDescent="0.25">
      <c r="A520" s="97">
        <v>1</v>
      </c>
      <c r="B520" s="32">
        <v>44026</v>
      </c>
      <c r="C520" s="29" t="s">
        <v>11</v>
      </c>
      <c r="D520" s="32">
        <v>44026</v>
      </c>
      <c r="E520" s="148"/>
      <c r="F520" s="29">
        <v>1567</v>
      </c>
      <c r="G520" s="33" t="s">
        <v>462</v>
      </c>
      <c r="H520" s="64">
        <v>1</v>
      </c>
      <c r="I520" s="64"/>
      <c r="J520" s="64">
        <f>+'INVENTARIO ENERO-MARZO 2021'!$H520-'INVENTARIO ENERO-MARZO 2021'!$I520</f>
        <v>1</v>
      </c>
      <c r="K520" s="64"/>
      <c r="L520" s="64"/>
      <c r="M520" s="64"/>
      <c r="N520" s="64"/>
      <c r="O520" s="64">
        <f>+Tabla1[[#This Row],[STOCK    FISICO ENERO 2021]]-Tabla1[[#This Row],[REQUISICIONES FEBRERO 2021]]</f>
        <v>1</v>
      </c>
      <c r="P520" s="64">
        <f>+Tabla1[[#This Row],[STOCK  FEBRERO 2021]]-Tabla1[[#This Row],[REQUISICIONES MARZO 2021]]+Tabla1[[#This Row],[ENTRADAS MARZO 2021]]</f>
        <v>1</v>
      </c>
      <c r="Q520" s="31" t="s">
        <v>12</v>
      </c>
      <c r="R520" s="35">
        <v>1805.08</v>
      </c>
      <c r="S520" s="36">
        <f t="shared" ref="S520:S533" si="20">R520*0.18+R520</f>
        <v>2129.9944</v>
      </c>
      <c r="T520" s="100">
        <f>Tabla1[[#This Row],[STOCK MARZO ]]*Tabla1[[#This Row],[COSTO UNITARIO SIN ITBIS]]</f>
        <v>1805.08</v>
      </c>
    </row>
    <row r="521" spans="1:20" s="11" customFormat="1" x14ac:dyDescent="0.25">
      <c r="A521" s="97">
        <v>2</v>
      </c>
      <c r="B521" s="32">
        <v>44168</v>
      </c>
      <c r="C521" s="29" t="s">
        <v>11</v>
      </c>
      <c r="D521" s="32">
        <v>44153</v>
      </c>
      <c r="E521" s="148"/>
      <c r="F521" s="29" t="s">
        <v>23</v>
      </c>
      <c r="G521" s="33" t="s">
        <v>463</v>
      </c>
      <c r="H521" s="64">
        <v>1</v>
      </c>
      <c r="I521" s="64"/>
      <c r="J521" s="64">
        <f>+'INVENTARIO ENERO-MARZO 2021'!$H521-'INVENTARIO ENERO-MARZO 2021'!$I521</f>
        <v>1</v>
      </c>
      <c r="K521" s="64"/>
      <c r="L521" s="64"/>
      <c r="M521" s="64"/>
      <c r="N521" s="64"/>
      <c r="O521" s="64">
        <f>+Tabla1[[#This Row],[STOCK    FISICO ENERO 2021]]-Tabla1[[#This Row],[REQUISICIONES FEBRERO 2021]]</f>
        <v>1</v>
      </c>
      <c r="P521" s="64">
        <f>+Tabla1[[#This Row],[STOCK  FEBRERO 2021]]-Tabla1[[#This Row],[REQUISICIONES MARZO 2021]]+Tabla1[[#This Row],[ENTRADAS MARZO 2021]]</f>
        <v>1</v>
      </c>
      <c r="Q521" s="31" t="s">
        <v>12</v>
      </c>
      <c r="R521" s="35">
        <v>0</v>
      </c>
      <c r="S521" s="36">
        <f t="shared" si="20"/>
        <v>0</v>
      </c>
      <c r="T521" s="100">
        <f>Tabla1[[#This Row],[STOCK MARZO ]]*Tabla1[[#This Row],[COSTO UNITARIO SIN ITBIS]]</f>
        <v>0</v>
      </c>
    </row>
    <row r="522" spans="1:20" s="9" customFormat="1" x14ac:dyDescent="0.25">
      <c r="A522" s="97">
        <v>3</v>
      </c>
      <c r="B522" s="32"/>
      <c r="C522" s="29" t="s">
        <v>11</v>
      </c>
      <c r="D522" s="32"/>
      <c r="E522" s="148"/>
      <c r="F522" s="14">
        <v>1566</v>
      </c>
      <c r="G522" s="77" t="s">
        <v>464</v>
      </c>
      <c r="H522" s="74">
        <v>1</v>
      </c>
      <c r="I522" s="74"/>
      <c r="J522" s="74">
        <f>+'INVENTARIO ENERO-MARZO 2021'!$H522-'INVENTARIO ENERO-MARZO 2021'!$I522</f>
        <v>1</v>
      </c>
      <c r="K522" s="74"/>
      <c r="L522" s="74"/>
      <c r="M522" s="74"/>
      <c r="N522" s="74"/>
      <c r="O522" s="74">
        <f>+Tabla1[[#This Row],[STOCK    FISICO ENERO 2021]]-Tabla1[[#This Row],[REQUISICIONES FEBRERO 2021]]</f>
        <v>1</v>
      </c>
      <c r="P522" s="74">
        <f>+Tabla1[[#This Row],[STOCK  FEBRERO 2021]]-Tabla1[[#This Row],[REQUISICIONES MARZO 2021]]+Tabla1[[#This Row],[ENTRADAS MARZO 2021]]</f>
        <v>1</v>
      </c>
      <c r="Q522" s="75" t="s">
        <v>12</v>
      </c>
      <c r="R522" s="78">
        <v>1016.95</v>
      </c>
      <c r="S522" s="36">
        <f t="shared" si="20"/>
        <v>1200.001</v>
      </c>
      <c r="T522" s="100">
        <f>Tabla1[[#This Row],[STOCK MARZO ]]*Tabla1[[#This Row],[COSTO UNITARIO SIN ITBIS]]</f>
        <v>1016.95</v>
      </c>
    </row>
    <row r="523" spans="1:20" s="9" customFormat="1" ht="12.75" customHeight="1" x14ac:dyDescent="0.25">
      <c r="A523" s="97">
        <v>4</v>
      </c>
      <c r="B523" s="32">
        <v>40945</v>
      </c>
      <c r="C523" s="29" t="s">
        <v>11</v>
      </c>
      <c r="D523" s="32">
        <v>40945</v>
      </c>
      <c r="E523" s="148"/>
      <c r="F523" s="14">
        <v>1017</v>
      </c>
      <c r="G523" s="77" t="s">
        <v>465</v>
      </c>
      <c r="H523" s="74">
        <v>2</v>
      </c>
      <c r="I523" s="74"/>
      <c r="J523" s="74">
        <f>+'INVENTARIO ENERO-MARZO 2021'!$H523-'INVENTARIO ENERO-MARZO 2021'!$I523</f>
        <v>2</v>
      </c>
      <c r="K523" s="74"/>
      <c r="L523" s="74"/>
      <c r="M523" s="74"/>
      <c r="N523" s="74"/>
      <c r="O523" s="74">
        <f>+Tabla1[[#This Row],[STOCK    FISICO ENERO 2021]]-Tabla1[[#This Row],[REQUISICIONES FEBRERO 2021]]</f>
        <v>2</v>
      </c>
      <c r="P523" s="74">
        <f>+Tabla1[[#This Row],[STOCK  FEBRERO 2021]]-Tabla1[[#This Row],[REQUISICIONES MARZO 2021]]+Tabla1[[#This Row],[ENTRADAS MARZO 2021]]</f>
        <v>2</v>
      </c>
      <c r="Q523" s="75" t="s">
        <v>12</v>
      </c>
      <c r="R523" s="78">
        <v>1274.4000000000001</v>
      </c>
      <c r="S523" s="36">
        <f t="shared" si="20"/>
        <v>1503.7920000000001</v>
      </c>
      <c r="T523" s="100">
        <f>Tabla1[[#This Row],[STOCK MARZO ]]*Tabla1[[#This Row],[COSTO UNITARIO SIN ITBIS]]</f>
        <v>2548.8000000000002</v>
      </c>
    </row>
    <row r="524" spans="1:20" s="9" customFormat="1" x14ac:dyDescent="0.25">
      <c r="A524" s="97">
        <v>5</v>
      </c>
      <c r="B524" s="76">
        <v>43087</v>
      </c>
      <c r="C524" s="14" t="s">
        <v>11</v>
      </c>
      <c r="D524" s="76">
        <v>43087</v>
      </c>
      <c r="E524" s="156"/>
      <c r="F524" s="14">
        <v>1045</v>
      </c>
      <c r="G524" s="79" t="s">
        <v>466</v>
      </c>
      <c r="H524" s="74">
        <v>2</v>
      </c>
      <c r="I524" s="74"/>
      <c r="J524" s="74">
        <f>+'INVENTARIO ENERO-MARZO 2021'!$H524-'INVENTARIO ENERO-MARZO 2021'!$I524</f>
        <v>2</v>
      </c>
      <c r="K524" s="74"/>
      <c r="L524" s="74"/>
      <c r="M524" s="74"/>
      <c r="N524" s="74"/>
      <c r="O524" s="74">
        <f>+Tabla1[[#This Row],[STOCK    FISICO ENERO 2021]]-Tabla1[[#This Row],[REQUISICIONES FEBRERO 2021]]</f>
        <v>2</v>
      </c>
      <c r="P524" s="74">
        <f>+Tabla1[[#This Row],[STOCK  FEBRERO 2021]]-Tabla1[[#This Row],[REQUISICIONES MARZO 2021]]+Tabla1[[#This Row],[ENTRADAS MARZO 2021]]</f>
        <v>2</v>
      </c>
      <c r="Q524" s="80" t="s">
        <v>12</v>
      </c>
      <c r="R524" s="78">
        <v>223.25</v>
      </c>
      <c r="S524" s="36">
        <f t="shared" si="20"/>
        <v>263.435</v>
      </c>
      <c r="T524" s="100">
        <f>Tabla1[[#This Row],[STOCK MARZO ]]*Tabla1[[#This Row],[COSTO UNITARIO SIN ITBIS]]</f>
        <v>446.5</v>
      </c>
    </row>
    <row r="525" spans="1:20" s="9" customFormat="1" x14ac:dyDescent="0.25">
      <c r="A525" s="97">
        <v>6</v>
      </c>
      <c r="B525" s="76">
        <v>43089</v>
      </c>
      <c r="C525" s="14" t="s">
        <v>11</v>
      </c>
      <c r="D525" s="76">
        <v>43089</v>
      </c>
      <c r="E525" s="156"/>
      <c r="F525" s="29">
        <v>1638</v>
      </c>
      <c r="G525" s="33" t="s">
        <v>467</v>
      </c>
      <c r="H525" s="64">
        <v>7</v>
      </c>
      <c r="I525" s="64"/>
      <c r="J525" s="64">
        <f>+'INVENTARIO ENERO-MARZO 2021'!$H525-'INVENTARIO ENERO-MARZO 2021'!$I525</f>
        <v>7</v>
      </c>
      <c r="K525" s="64"/>
      <c r="L525" s="64"/>
      <c r="M525" s="64"/>
      <c r="N525" s="64"/>
      <c r="O525" s="64">
        <f>+Tabla1[[#This Row],[STOCK    FISICO ENERO 2021]]-Tabla1[[#This Row],[REQUISICIONES FEBRERO 2021]]</f>
        <v>7</v>
      </c>
      <c r="P525" s="64">
        <f>+Tabla1[[#This Row],[STOCK  FEBRERO 2021]]-Tabla1[[#This Row],[REQUISICIONES MARZO 2021]]+Tabla1[[#This Row],[ENTRADAS MARZO 2021]]</f>
        <v>7</v>
      </c>
      <c r="Q525" s="31" t="s">
        <v>112</v>
      </c>
      <c r="R525" s="35">
        <v>174</v>
      </c>
      <c r="S525" s="36">
        <f t="shared" si="20"/>
        <v>205.32</v>
      </c>
      <c r="T525" s="100">
        <f>Tabla1[[#This Row],[STOCK MARZO ]]*Tabla1[[#This Row],[COSTO UNITARIO SIN ITBIS]]</f>
        <v>1218</v>
      </c>
    </row>
    <row r="526" spans="1:20" s="9" customFormat="1" x14ac:dyDescent="0.25">
      <c r="A526" s="97">
        <v>7</v>
      </c>
      <c r="B526" s="32">
        <v>44168</v>
      </c>
      <c r="C526" s="29" t="s">
        <v>11</v>
      </c>
      <c r="D526" s="32">
        <v>44155</v>
      </c>
      <c r="E526" s="148"/>
      <c r="F526" s="14" t="s">
        <v>23</v>
      </c>
      <c r="G526" s="77" t="s">
        <v>468</v>
      </c>
      <c r="H526" s="74">
        <v>7</v>
      </c>
      <c r="I526" s="74"/>
      <c r="J526" s="74">
        <f>+'INVENTARIO ENERO-MARZO 2021'!$H526-'INVENTARIO ENERO-MARZO 2021'!$I526</f>
        <v>7</v>
      </c>
      <c r="K526" s="74"/>
      <c r="L526" s="74"/>
      <c r="M526" s="74"/>
      <c r="N526" s="74"/>
      <c r="O526" s="74">
        <f>+Tabla1[[#This Row],[STOCK    FISICO ENERO 2021]]-Tabla1[[#This Row],[REQUISICIONES FEBRERO 2021]]</f>
        <v>7</v>
      </c>
      <c r="P526" s="74">
        <f>+Tabla1[[#This Row],[STOCK  FEBRERO 2021]]-Tabla1[[#This Row],[REQUISICIONES MARZO 2021]]+Tabla1[[#This Row],[ENTRADAS MARZO 2021]]</f>
        <v>7</v>
      </c>
      <c r="Q526" s="31" t="s">
        <v>112</v>
      </c>
      <c r="R526" s="78">
        <v>165.2</v>
      </c>
      <c r="S526" s="36">
        <f t="shared" si="20"/>
        <v>194.93599999999998</v>
      </c>
      <c r="T526" s="100">
        <f>Tabla1[[#This Row],[STOCK MARZO ]]*Tabla1[[#This Row],[COSTO UNITARIO SIN ITBIS]]</f>
        <v>1156.3999999999999</v>
      </c>
    </row>
    <row r="527" spans="1:20" s="9" customFormat="1" x14ac:dyDescent="0.25">
      <c r="A527" s="97">
        <v>8</v>
      </c>
      <c r="B527" s="32">
        <v>44168</v>
      </c>
      <c r="C527" s="14" t="s">
        <v>11</v>
      </c>
      <c r="D527" s="32">
        <v>44155</v>
      </c>
      <c r="E527" s="148"/>
      <c r="F527" s="29">
        <v>1639</v>
      </c>
      <c r="G527" s="33" t="s">
        <v>469</v>
      </c>
      <c r="H527" s="64">
        <v>8</v>
      </c>
      <c r="I527" s="64"/>
      <c r="J527" s="64">
        <f>+'INVENTARIO ENERO-MARZO 2021'!$H527-'INVENTARIO ENERO-MARZO 2021'!$I527</f>
        <v>8</v>
      </c>
      <c r="K527" s="64"/>
      <c r="L527" s="64"/>
      <c r="M527" s="64"/>
      <c r="N527" s="64"/>
      <c r="O527" s="64">
        <f>+Tabla1[[#This Row],[STOCK    FISICO ENERO 2021]]-Tabla1[[#This Row],[REQUISICIONES FEBRERO 2021]]</f>
        <v>8</v>
      </c>
      <c r="P527" s="64">
        <f>+Tabla1[[#This Row],[STOCK  FEBRERO 2021]]-Tabla1[[#This Row],[REQUISICIONES MARZO 2021]]+Tabla1[[#This Row],[ENTRADAS MARZO 2021]]</f>
        <v>8</v>
      </c>
      <c r="Q527" s="31" t="s">
        <v>112</v>
      </c>
      <c r="R527" s="35">
        <v>210</v>
      </c>
      <c r="S527" s="36">
        <f t="shared" si="20"/>
        <v>247.8</v>
      </c>
      <c r="T527" s="100">
        <f>Tabla1[[#This Row],[STOCK MARZO ]]*Tabla1[[#This Row],[COSTO UNITARIO SIN ITBIS]]</f>
        <v>1680</v>
      </c>
    </row>
    <row r="528" spans="1:20" s="13" customFormat="1" ht="15" customHeight="1" x14ac:dyDescent="0.25">
      <c r="A528" s="97">
        <v>9</v>
      </c>
      <c r="B528" s="32">
        <v>44168</v>
      </c>
      <c r="C528" s="29" t="s">
        <v>11</v>
      </c>
      <c r="D528" s="32">
        <v>44155</v>
      </c>
      <c r="E528" s="148"/>
      <c r="F528" s="29"/>
      <c r="G528" s="33" t="s">
        <v>470</v>
      </c>
      <c r="H528" s="64">
        <v>10</v>
      </c>
      <c r="I528" s="64"/>
      <c r="J528" s="64">
        <f>+'INVENTARIO ENERO-MARZO 2021'!$H528-'INVENTARIO ENERO-MARZO 2021'!$I528</f>
        <v>10</v>
      </c>
      <c r="K528" s="64"/>
      <c r="L528" s="64"/>
      <c r="M528" s="64"/>
      <c r="N528" s="64"/>
      <c r="O528" s="64">
        <f>+Tabla1[[#This Row],[STOCK    FISICO ENERO 2021]]-Tabla1[[#This Row],[REQUISICIONES FEBRERO 2021]]</f>
        <v>10</v>
      </c>
      <c r="P528" s="64">
        <f>+Tabla1[[#This Row],[STOCK  FEBRERO 2021]]-Tabla1[[#This Row],[REQUISICIONES MARZO 2021]]+Tabla1[[#This Row],[ENTRADAS MARZO 2021]]</f>
        <v>10</v>
      </c>
      <c r="Q528" s="31" t="s">
        <v>112</v>
      </c>
      <c r="R528" s="35">
        <v>260.5</v>
      </c>
      <c r="S528" s="36">
        <f t="shared" si="20"/>
        <v>307.39</v>
      </c>
      <c r="T528" s="100">
        <f>Tabla1[[#This Row],[STOCK MARZO ]]*Tabla1[[#This Row],[COSTO UNITARIO SIN ITBIS]]</f>
        <v>2605</v>
      </c>
    </row>
    <row r="529" spans="1:20" s="9" customFormat="1" ht="15.75" customHeight="1" x14ac:dyDescent="0.25">
      <c r="A529" s="97">
        <v>10</v>
      </c>
      <c r="B529" s="32">
        <v>44168</v>
      </c>
      <c r="C529" s="29" t="s">
        <v>11</v>
      </c>
      <c r="D529" s="32">
        <v>44151</v>
      </c>
      <c r="E529" s="148"/>
      <c r="F529" s="14">
        <v>1640</v>
      </c>
      <c r="G529" s="77" t="s">
        <v>471</v>
      </c>
      <c r="H529" s="74">
        <v>9</v>
      </c>
      <c r="I529" s="74"/>
      <c r="J529" s="74">
        <f>+'INVENTARIO ENERO-MARZO 2021'!$H529-'INVENTARIO ENERO-MARZO 2021'!$I529</f>
        <v>9</v>
      </c>
      <c r="K529" s="74"/>
      <c r="L529" s="74"/>
      <c r="M529" s="74"/>
      <c r="N529" s="74"/>
      <c r="O529" s="74">
        <f>+Tabla1[[#This Row],[STOCK    FISICO ENERO 2021]]-Tabla1[[#This Row],[REQUISICIONES FEBRERO 2021]]</f>
        <v>9</v>
      </c>
      <c r="P529" s="74">
        <f>+Tabla1[[#This Row],[STOCK  FEBRERO 2021]]-Tabla1[[#This Row],[REQUISICIONES MARZO 2021]]+Tabla1[[#This Row],[ENTRADAS MARZO 2021]]</f>
        <v>9</v>
      </c>
      <c r="Q529" s="75" t="s">
        <v>112</v>
      </c>
      <c r="R529" s="78">
        <v>222</v>
      </c>
      <c r="S529" s="36">
        <f t="shared" si="20"/>
        <v>261.95999999999998</v>
      </c>
      <c r="T529" s="100">
        <f>Tabla1[[#This Row],[STOCK MARZO ]]*Tabla1[[#This Row],[COSTO UNITARIO SIN ITBIS]]</f>
        <v>1998</v>
      </c>
    </row>
    <row r="530" spans="1:20" s="9" customFormat="1" ht="15.75" customHeight="1" x14ac:dyDescent="0.25">
      <c r="A530" s="97">
        <v>11</v>
      </c>
      <c r="B530" s="32">
        <v>44168</v>
      </c>
      <c r="C530" s="14" t="s">
        <v>11</v>
      </c>
      <c r="D530" s="32">
        <v>44155</v>
      </c>
      <c r="E530" s="148"/>
      <c r="F530" s="14" t="s">
        <v>23</v>
      </c>
      <c r="G530" s="77" t="s">
        <v>472</v>
      </c>
      <c r="H530" s="74">
        <v>7</v>
      </c>
      <c r="I530" s="74"/>
      <c r="J530" s="74">
        <f>+'INVENTARIO ENERO-MARZO 2021'!$H530-'INVENTARIO ENERO-MARZO 2021'!$I530</f>
        <v>7</v>
      </c>
      <c r="K530" s="74"/>
      <c r="L530" s="74"/>
      <c r="M530" s="74"/>
      <c r="N530" s="74"/>
      <c r="O530" s="74">
        <f>+Tabla1[[#This Row],[STOCK    FISICO ENERO 2021]]-Tabla1[[#This Row],[REQUISICIONES FEBRERO 2021]]</f>
        <v>7</v>
      </c>
      <c r="P530" s="74">
        <f>+Tabla1[[#This Row],[STOCK  FEBRERO 2021]]-Tabla1[[#This Row],[REQUISICIONES MARZO 2021]]+Tabla1[[#This Row],[ENTRADAS MARZO 2021]]</f>
        <v>7</v>
      </c>
      <c r="Q530" s="75" t="s">
        <v>12</v>
      </c>
      <c r="R530" s="78">
        <v>253.7</v>
      </c>
      <c r="S530" s="36">
        <f t="shared" si="20"/>
        <v>299.36599999999999</v>
      </c>
      <c r="T530" s="100">
        <f>Tabla1[[#This Row],[STOCK MARZO ]]*Tabla1[[#This Row],[COSTO UNITARIO SIN ITBIS]]</f>
        <v>1775.8999999999999</v>
      </c>
    </row>
    <row r="531" spans="1:20" s="9" customFormat="1" x14ac:dyDescent="0.25">
      <c r="A531" s="97">
        <v>12</v>
      </c>
      <c r="B531" s="32">
        <v>44026</v>
      </c>
      <c r="C531" s="29" t="s">
        <v>11</v>
      </c>
      <c r="D531" s="32">
        <v>44026</v>
      </c>
      <c r="E531" s="148"/>
      <c r="F531" s="29">
        <v>1641</v>
      </c>
      <c r="G531" s="33" t="s">
        <v>473</v>
      </c>
      <c r="H531" s="64">
        <v>2</v>
      </c>
      <c r="I531" s="64"/>
      <c r="J531" s="64">
        <f>+'INVENTARIO ENERO-MARZO 2021'!$H531-'INVENTARIO ENERO-MARZO 2021'!$I531</f>
        <v>2</v>
      </c>
      <c r="K531" s="64"/>
      <c r="L531" s="64"/>
      <c r="M531" s="64"/>
      <c r="N531" s="64"/>
      <c r="O531" s="64">
        <f>+Tabla1[[#This Row],[STOCK    FISICO ENERO 2021]]-Tabla1[[#This Row],[REQUISICIONES FEBRERO 2021]]</f>
        <v>2</v>
      </c>
      <c r="P531" s="64">
        <f>+Tabla1[[#This Row],[STOCK  FEBRERO 2021]]-Tabla1[[#This Row],[REQUISICIONES MARZO 2021]]+Tabla1[[#This Row],[ENTRADAS MARZO 2021]]</f>
        <v>2</v>
      </c>
      <c r="Q531" s="31" t="s">
        <v>12</v>
      </c>
      <c r="R531" s="35">
        <v>246</v>
      </c>
      <c r="S531" s="36">
        <f t="shared" si="20"/>
        <v>290.27999999999997</v>
      </c>
      <c r="T531" s="100">
        <f>Tabla1[[#This Row],[STOCK MARZO ]]*Tabla1[[#This Row],[COSTO UNITARIO SIN ITBIS]]</f>
        <v>492</v>
      </c>
    </row>
    <row r="532" spans="1:20" s="9" customFormat="1" x14ac:dyDescent="0.25">
      <c r="A532" s="97">
        <v>13</v>
      </c>
      <c r="B532" s="32">
        <v>44109</v>
      </c>
      <c r="C532" s="29" t="s">
        <v>11</v>
      </c>
      <c r="D532" s="32">
        <v>44109</v>
      </c>
      <c r="E532" s="148"/>
      <c r="F532" s="14">
        <v>1581</v>
      </c>
      <c r="G532" s="77" t="s">
        <v>698</v>
      </c>
      <c r="H532" s="74">
        <v>3</v>
      </c>
      <c r="I532" s="74"/>
      <c r="J532" s="74">
        <f>+'INVENTARIO ENERO-MARZO 2021'!$H532-'INVENTARIO ENERO-MARZO 2021'!$I532</f>
        <v>3</v>
      </c>
      <c r="K532" s="74"/>
      <c r="L532" s="74"/>
      <c r="M532" s="74"/>
      <c r="N532" s="74"/>
      <c r="O532" s="74">
        <f>+Tabla1[[#This Row],[STOCK    FISICO ENERO 2021]]-Tabla1[[#This Row],[REQUISICIONES FEBRERO 2021]]</f>
        <v>3</v>
      </c>
      <c r="P532" s="74">
        <f>+Tabla1[[#This Row],[STOCK  FEBRERO 2021]]-Tabla1[[#This Row],[REQUISICIONES MARZO 2021]]+Tabla1[[#This Row],[ENTRADAS MARZO 2021]]</f>
        <v>3</v>
      </c>
      <c r="Q532" s="31" t="s">
        <v>12</v>
      </c>
      <c r="R532" s="78">
        <v>186</v>
      </c>
      <c r="S532" s="36">
        <f t="shared" si="20"/>
        <v>219.48</v>
      </c>
      <c r="T532" s="100">
        <f>Tabla1[[#This Row],[STOCK MARZO ]]*Tabla1[[#This Row],[COSTO UNITARIO SIN ITBIS]]</f>
        <v>558</v>
      </c>
    </row>
    <row r="533" spans="1:20" s="9" customFormat="1" ht="16.5" customHeight="1" x14ac:dyDescent="0.25">
      <c r="A533" s="97">
        <v>14</v>
      </c>
      <c r="B533" s="76">
        <v>44026</v>
      </c>
      <c r="C533" s="14" t="s">
        <v>11</v>
      </c>
      <c r="D533" s="76">
        <v>44026</v>
      </c>
      <c r="E533" s="156"/>
      <c r="F533" s="29">
        <v>1457</v>
      </c>
      <c r="G533" s="33" t="s">
        <v>474</v>
      </c>
      <c r="H533" s="64">
        <v>1</v>
      </c>
      <c r="I533" s="64"/>
      <c r="J533" s="64">
        <f>+'INVENTARIO ENERO-MARZO 2021'!$H533-'INVENTARIO ENERO-MARZO 2021'!$I533</f>
        <v>1</v>
      </c>
      <c r="K533" s="64"/>
      <c r="L533" s="64"/>
      <c r="M533" s="64"/>
      <c r="N533" s="64"/>
      <c r="O533" s="64">
        <f>+Tabla1[[#This Row],[STOCK    FISICO ENERO 2021]]-Tabla1[[#This Row],[REQUISICIONES FEBRERO 2021]]</f>
        <v>1</v>
      </c>
      <c r="P533" s="64">
        <f>+Tabla1[[#This Row],[STOCK  FEBRERO 2021]]-Tabla1[[#This Row],[REQUISICIONES MARZO 2021]]+Tabla1[[#This Row],[ENTRADAS MARZO 2021]]</f>
        <v>1</v>
      </c>
      <c r="Q533" s="31" t="s">
        <v>12</v>
      </c>
      <c r="R533" s="35">
        <v>324.8</v>
      </c>
      <c r="S533" s="36">
        <f t="shared" si="20"/>
        <v>383.26400000000001</v>
      </c>
      <c r="T533" s="100">
        <f>Tabla1[[#This Row],[STOCK MARZO ]]*Tabla1[[#This Row],[COSTO UNITARIO SIN ITBIS]]</f>
        <v>324.8</v>
      </c>
    </row>
    <row r="534" spans="1:20" s="9" customFormat="1" x14ac:dyDescent="0.25">
      <c r="A534" s="97">
        <v>15</v>
      </c>
      <c r="B534" s="76"/>
      <c r="C534" s="14" t="s">
        <v>11</v>
      </c>
      <c r="D534" s="76"/>
      <c r="E534" s="156"/>
      <c r="F534" s="29"/>
      <c r="G534" s="33" t="s">
        <v>697</v>
      </c>
      <c r="H534" s="64">
        <v>2</v>
      </c>
      <c r="I534" s="64"/>
      <c r="J534" s="64">
        <f>+'INVENTARIO ENERO-MARZO 2021'!$H534-'INVENTARIO ENERO-MARZO 2021'!$I534</f>
        <v>2</v>
      </c>
      <c r="K534" s="64"/>
      <c r="L534" s="64"/>
      <c r="M534" s="64"/>
      <c r="N534" s="64"/>
      <c r="O534" s="64">
        <f>+Tabla1[[#This Row],[STOCK    FISICO ENERO 2021]]-Tabla1[[#This Row],[REQUISICIONES FEBRERO 2021]]</f>
        <v>2</v>
      </c>
      <c r="P534" s="64">
        <f>+Tabla1[[#This Row],[STOCK  FEBRERO 2021]]-Tabla1[[#This Row],[REQUISICIONES MARZO 2021]]+Tabla1[[#This Row],[ENTRADAS MARZO 2021]]</f>
        <v>2</v>
      </c>
      <c r="Q534" s="31" t="s">
        <v>12</v>
      </c>
      <c r="R534" s="35"/>
      <c r="S534" s="36"/>
      <c r="T534" s="100">
        <f>Tabla1[[#This Row],[STOCK MARZO ]]*Tabla1[[#This Row],[COSTO UNITARIO SIN ITBIS]]</f>
        <v>0</v>
      </c>
    </row>
    <row r="535" spans="1:20" s="9" customFormat="1" x14ac:dyDescent="0.25">
      <c r="A535" s="97">
        <v>16</v>
      </c>
      <c r="B535" s="76">
        <v>42989</v>
      </c>
      <c r="C535" s="14" t="s">
        <v>11</v>
      </c>
      <c r="D535" s="76">
        <v>42989</v>
      </c>
      <c r="E535" s="156"/>
      <c r="F535" s="29" t="s">
        <v>23</v>
      </c>
      <c r="G535" s="33" t="s">
        <v>475</v>
      </c>
      <c r="H535" s="64">
        <v>2</v>
      </c>
      <c r="I535" s="64"/>
      <c r="J535" s="64">
        <f>+'INVENTARIO ENERO-MARZO 2021'!$H535-'INVENTARIO ENERO-MARZO 2021'!$I535</f>
        <v>2</v>
      </c>
      <c r="K535" s="64"/>
      <c r="L535" s="64"/>
      <c r="M535" s="64"/>
      <c r="N535" s="64"/>
      <c r="O535" s="64">
        <f>+Tabla1[[#This Row],[STOCK    FISICO ENERO 2021]]-Tabla1[[#This Row],[REQUISICIONES FEBRERO 2021]]</f>
        <v>2</v>
      </c>
      <c r="P535" s="64">
        <f>+Tabla1[[#This Row],[STOCK  FEBRERO 2021]]-Tabla1[[#This Row],[REQUISICIONES MARZO 2021]]+Tabla1[[#This Row],[ENTRADAS MARZO 2021]]</f>
        <v>2</v>
      </c>
      <c r="Q535" s="31" t="s">
        <v>12</v>
      </c>
      <c r="R535" s="35">
        <v>0</v>
      </c>
      <c r="S535" s="36">
        <f t="shared" ref="S535:S547" si="21">R535*0.18+R535</f>
        <v>0</v>
      </c>
      <c r="T535" s="100">
        <f>Tabla1[[#This Row],[STOCK MARZO ]]*Tabla1[[#This Row],[COSTO UNITARIO SIN ITBIS]]</f>
        <v>0</v>
      </c>
    </row>
    <row r="536" spans="1:20" s="9" customFormat="1" x14ac:dyDescent="0.25">
      <c r="A536" s="97">
        <v>17</v>
      </c>
      <c r="B536" s="76">
        <v>44028</v>
      </c>
      <c r="C536" s="14" t="s">
        <v>11</v>
      </c>
      <c r="D536" s="76">
        <v>44028</v>
      </c>
      <c r="E536" s="156"/>
      <c r="F536" s="29"/>
      <c r="G536" s="33" t="s">
        <v>476</v>
      </c>
      <c r="H536" s="64">
        <v>10</v>
      </c>
      <c r="I536" s="64"/>
      <c r="J536" s="64">
        <f>+'INVENTARIO ENERO-MARZO 2021'!$H536-'INVENTARIO ENERO-MARZO 2021'!$I536</f>
        <v>10</v>
      </c>
      <c r="K536" s="64"/>
      <c r="L536" s="64"/>
      <c r="M536" s="64"/>
      <c r="N536" s="64"/>
      <c r="O536" s="64">
        <f>+Tabla1[[#This Row],[STOCK    FISICO ENERO 2021]]-Tabla1[[#This Row],[REQUISICIONES FEBRERO 2021]]</f>
        <v>10</v>
      </c>
      <c r="P536" s="64">
        <f>+Tabla1[[#This Row],[STOCK  FEBRERO 2021]]-Tabla1[[#This Row],[REQUISICIONES MARZO 2021]]+Tabla1[[#This Row],[ENTRADAS MARZO 2021]]</f>
        <v>10</v>
      </c>
      <c r="Q536" s="31" t="s">
        <v>12</v>
      </c>
      <c r="R536" s="35">
        <v>531</v>
      </c>
      <c r="S536" s="36">
        <f t="shared" si="21"/>
        <v>626.58000000000004</v>
      </c>
      <c r="T536" s="100">
        <f>Tabla1[[#This Row],[STOCK MARZO ]]*Tabla1[[#This Row],[COSTO UNITARIO SIN ITBIS]]</f>
        <v>5310</v>
      </c>
    </row>
    <row r="537" spans="1:20" s="9" customFormat="1" x14ac:dyDescent="0.25">
      <c r="A537" s="97">
        <v>18</v>
      </c>
      <c r="B537" s="32">
        <v>42689</v>
      </c>
      <c r="C537" s="29" t="s">
        <v>11</v>
      </c>
      <c r="D537" s="32">
        <v>42689</v>
      </c>
      <c r="E537" s="148"/>
      <c r="F537" s="29">
        <v>1159</v>
      </c>
      <c r="G537" s="33" t="s">
        <v>477</v>
      </c>
      <c r="H537" s="64">
        <v>10</v>
      </c>
      <c r="I537" s="64"/>
      <c r="J537" s="64">
        <f>+'INVENTARIO ENERO-MARZO 2021'!$H537-'INVENTARIO ENERO-MARZO 2021'!$I537</f>
        <v>10</v>
      </c>
      <c r="K537" s="64"/>
      <c r="L537" s="64"/>
      <c r="M537" s="64"/>
      <c r="N537" s="64"/>
      <c r="O537" s="64">
        <f>+Tabla1[[#This Row],[STOCK    FISICO ENERO 2021]]-Tabla1[[#This Row],[REQUISICIONES FEBRERO 2021]]</f>
        <v>10</v>
      </c>
      <c r="P537" s="64">
        <f>+Tabla1[[#This Row],[STOCK  FEBRERO 2021]]-Tabla1[[#This Row],[REQUISICIONES MARZO 2021]]+Tabla1[[#This Row],[ENTRADAS MARZO 2021]]</f>
        <v>10</v>
      </c>
      <c r="Q537" s="31" t="s">
        <v>12</v>
      </c>
      <c r="R537" s="35">
        <v>350</v>
      </c>
      <c r="S537" s="36">
        <f t="shared" si="21"/>
        <v>413</v>
      </c>
      <c r="T537" s="100">
        <f>Tabla1[[#This Row],[STOCK MARZO ]]*Tabla1[[#This Row],[COSTO UNITARIO SIN ITBIS]]</f>
        <v>3500</v>
      </c>
    </row>
    <row r="538" spans="1:20" s="9" customFormat="1" x14ac:dyDescent="0.25">
      <c r="A538" s="97">
        <v>19</v>
      </c>
      <c r="B538" s="76">
        <v>42689</v>
      </c>
      <c r="C538" s="14" t="s">
        <v>11</v>
      </c>
      <c r="D538" s="76">
        <v>42689</v>
      </c>
      <c r="E538" s="156"/>
      <c r="F538" s="14">
        <v>1158</v>
      </c>
      <c r="G538" s="77" t="s">
        <v>478</v>
      </c>
      <c r="H538" s="74">
        <v>56</v>
      </c>
      <c r="I538" s="74"/>
      <c r="J538" s="74">
        <f>+'INVENTARIO ENERO-MARZO 2021'!$H538-'INVENTARIO ENERO-MARZO 2021'!$I538</f>
        <v>56</v>
      </c>
      <c r="K538" s="74"/>
      <c r="L538" s="74"/>
      <c r="M538" s="74"/>
      <c r="N538" s="74"/>
      <c r="O538" s="74">
        <f>+Tabla1[[#This Row],[STOCK    FISICO ENERO 2021]]-Tabla1[[#This Row],[REQUISICIONES FEBRERO 2021]]</f>
        <v>56</v>
      </c>
      <c r="P538" s="74">
        <f>+Tabla1[[#This Row],[STOCK  FEBRERO 2021]]-Tabla1[[#This Row],[REQUISICIONES MARZO 2021]]+Tabla1[[#This Row],[ENTRADAS MARZO 2021]]</f>
        <v>56</v>
      </c>
      <c r="Q538" s="75" t="s">
        <v>12</v>
      </c>
      <c r="R538" s="78">
        <v>250</v>
      </c>
      <c r="S538" s="36">
        <f t="shared" si="21"/>
        <v>295</v>
      </c>
      <c r="T538" s="100">
        <f>Tabla1[[#This Row],[STOCK MARZO ]]*Tabla1[[#This Row],[COSTO UNITARIO SIN ITBIS]]</f>
        <v>14000</v>
      </c>
    </row>
    <row r="539" spans="1:20" s="9" customFormat="1" x14ac:dyDescent="0.25">
      <c r="A539" s="97">
        <v>20</v>
      </c>
      <c r="B539" s="76">
        <v>43453</v>
      </c>
      <c r="C539" s="14" t="s">
        <v>11</v>
      </c>
      <c r="D539" s="76">
        <v>43453</v>
      </c>
      <c r="E539" s="156"/>
      <c r="F539" s="29">
        <v>1570</v>
      </c>
      <c r="G539" s="33" t="s">
        <v>479</v>
      </c>
      <c r="H539" s="64">
        <v>4</v>
      </c>
      <c r="I539" s="64"/>
      <c r="J539" s="64">
        <f>+'INVENTARIO ENERO-MARZO 2021'!$H539-'INVENTARIO ENERO-MARZO 2021'!$I539</f>
        <v>4</v>
      </c>
      <c r="K539" s="64"/>
      <c r="L539" s="64"/>
      <c r="M539" s="64"/>
      <c r="N539" s="64"/>
      <c r="O539" s="64">
        <f>+Tabla1[[#This Row],[STOCK    FISICO ENERO 2021]]-Tabla1[[#This Row],[REQUISICIONES FEBRERO 2021]]</f>
        <v>4</v>
      </c>
      <c r="P539" s="64">
        <f>+Tabla1[[#This Row],[STOCK  FEBRERO 2021]]-Tabla1[[#This Row],[REQUISICIONES MARZO 2021]]+Tabla1[[#This Row],[ENTRADAS MARZO 2021]]</f>
        <v>4</v>
      </c>
      <c r="Q539" s="31" t="s">
        <v>480</v>
      </c>
      <c r="R539" s="35">
        <v>1449.15</v>
      </c>
      <c r="S539" s="36">
        <f t="shared" si="21"/>
        <v>1709.9970000000001</v>
      </c>
      <c r="T539" s="100">
        <f>Tabla1[[#This Row],[STOCK MARZO ]]*Tabla1[[#This Row],[COSTO UNITARIO SIN ITBIS]]</f>
        <v>5796.6</v>
      </c>
    </row>
    <row r="540" spans="1:20" s="9" customFormat="1" x14ac:dyDescent="0.25">
      <c r="A540" s="97">
        <v>21</v>
      </c>
      <c r="B540" s="32">
        <v>44168</v>
      </c>
      <c r="C540" s="29" t="s">
        <v>11</v>
      </c>
      <c r="D540" s="32">
        <v>44154</v>
      </c>
      <c r="E540" s="148"/>
      <c r="F540" s="14">
        <v>1569</v>
      </c>
      <c r="G540" s="77" t="s">
        <v>481</v>
      </c>
      <c r="H540" s="74">
        <v>2</v>
      </c>
      <c r="I540" s="74"/>
      <c r="J540" s="74">
        <f>+'INVENTARIO ENERO-MARZO 2021'!$H540-'INVENTARIO ENERO-MARZO 2021'!$I540</f>
        <v>2</v>
      </c>
      <c r="K540" s="74"/>
      <c r="L540" s="74"/>
      <c r="M540" s="74"/>
      <c r="N540" s="74"/>
      <c r="O540" s="74">
        <f>+Tabla1[[#This Row],[STOCK    FISICO ENERO 2021]]-Tabla1[[#This Row],[REQUISICIONES FEBRERO 2021]]</f>
        <v>2</v>
      </c>
      <c r="P540" s="74">
        <f>+Tabla1[[#This Row],[STOCK  FEBRERO 2021]]-Tabla1[[#This Row],[REQUISICIONES MARZO 2021]]+Tabla1[[#This Row],[ENTRADAS MARZO 2021]]</f>
        <v>2</v>
      </c>
      <c r="Q540" s="75" t="s">
        <v>480</v>
      </c>
      <c r="R540" s="78">
        <v>1169.48</v>
      </c>
      <c r="S540" s="36">
        <f t="shared" si="21"/>
        <v>1379.9864</v>
      </c>
      <c r="T540" s="100">
        <f>Tabla1[[#This Row],[STOCK MARZO ]]*Tabla1[[#This Row],[COSTO UNITARIO SIN ITBIS]]</f>
        <v>2338.96</v>
      </c>
    </row>
    <row r="541" spans="1:20" s="15" customFormat="1" x14ac:dyDescent="0.25">
      <c r="A541" s="97">
        <v>22</v>
      </c>
      <c r="B541" s="32">
        <v>44168</v>
      </c>
      <c r="C541" s="14" t="s">
        <v>11</v>
      </c>
      <c r="D541" s="76">
        <v>44154</v>
      </c>
      <c r="E541" s="156"/>
      <c r="F541" s="29">
        <v>1571</v>
      </c>
      <c r="G541" s="33" t="s">
        <v>482</v>
      </c>
      <c r="H541" s="64">
        <v>2</v>
      </c>
      <c r="I541" s="64"/>
      <c r="J541" s="64">
        <f>+'INVENTARIO ENERO-MARZO 2021'!$H541-'INVENTARIO ENERO-MARZO 2021'!$I541</f>
        <v>2</v>
      </c>
      <c r="K541" s="64"/>
      <c r="L541" s="64"/>
      <c r="M541" s="64"/>
      <c r="N541" s="64"/>
      <c r="O541" s="64">
        <f>+Tabla1[[#This Row],[STOCK    FISICO ENERO 2021]]-Tabla1[[#This Row],[REQUISICIONES FEBRERO 2021]]</f>
        <v>2</v>
      </c>
      <c r="P541" s="64">
        <f>+Tabla1[[#This Row],[STOCK  FEBRERO 2021]]-Tabla1[[#This Row],[REQUISICIONES MARZO 2021]]+Tabla1[[#This Row],[ENTRADAS MARZO 2021]]</f>
        <v>2</v>
      </c>
      <c r="Q541" s="31" t="s">
        <v>480</v>
      </c>
      <c r="R541" s="35">
        <v>2415.25</v>
      </c>
      <c r="S541" s="36">
        <f t="shared" si="21"/>
        <v>2849.9949999999999</v>
      </c>
      <c r="T541" s="100">
        <f>Tabla1[[#This Row],[STOCK MARZO ]]*Tabla1[[#This Row],[COSTO UNITARIO SIN ITBIS]]</f>
        <v>4830.5</v>
      </c>
    </row>
    <row r="542" spans="1:20" s="9" customFormat="1" x14ac:dyDescent="0.25">
      <c r="A542" s="97">
        <v>23</v>
      </c>
      <c r="B542" s="32">
        <v>44168</v>
      </c>
      <c r="C542" s="29" t="s">
        <v>11</v>
      </c>
      <c r="D542" s="32">
        <v>44154</v>
      </c>
      <c r="E542" s="148"/>
      <c r="F542" s="14">
        <v>1572</v>
      </c>
      <c r="G542" s="77" t="s">
        <v>483</v>
      </c>
      <c r="H542" s="74">
        <v>1</v>
      </c>
      <c r="I542" s="74"/>
      <c r="J542" s="74">
        <f>+'INVENTARIO ENERO-MARZO 2021'!$H542-'INVENTARIO ENERO-MARZO 2021'!$I542</f>
        <v>1</v>
      </c>
      <c r="K542" s="74"/>
      <c r="L542" s="74"/>
      <c r="M542" s="74"/>
      <c r="N542" s="74"/>
      <c r="O542" s="74">
        <f>+Tabla1[[#This Row],[STOCK    FISICO ENERO 2021]]-Tabla1[[#This Row],[REQUISICIONES FEBRERO 2021]]</f>
        <v>1</v>
      </c>
      <c r="P542" s="74">
        <f>+Tabla1[[#This Row],[STOCK  FEBRERO 2021]]-Tabla1[[#This Row],[REQUISICIONES MARZO 2021]]+Tabla1[[#This Row],[ENTRADAS MARZO 2021]]</f>
        <v>1</v>
      </c>
      <c r="Q542" s="75" t="s">
        <v>480</v>
      </c>
      <c r="R542" s="78">
        <v>1067.8</v>
      </c>
      <c r="S542" s="36">
        <f t="shared" si="21"/>
        <v>1260.0039999999999</v>
      </c>
      <c r="T542" s="100">
        <f>Tabla1[[#This Row],[STOCK MARZO ]]*Tabla1[[#This Row],[COSTO UNITARIO SIN ITBIS]]</f>
        <v>1067.8</v>
      </c>
    </row>
    <row r="543" spans="1:20" s="9" customFormat="1" x14ac:dyDescent="0.25">
      <c r="A543" s="97">
        <v>24</v>
      </c>
      <c r="B543" s="76">
        <v>44168</v>
      </c>
      <c r="C543" s="14" t="s">
        <v>11</v>
      </c>
      <c r="D543" s="76">
        <v>44153</v>
      </c>
      <c r="E543" s="156"/>
      <c r="F543" s="29">
        <v>1573</v>
      </c>
      <c r="G543" s="33" t="s">
        <v>484</v>
      </c>
      <c r="H543" s="64">
        <v>2</v>
      </c>
      <c r="I543" s="64"/>
      <c r="J543" s="64">
        <f>+'INVENTARIO ENERO-MARZO 2021'!$H543-'INVENTARIO ENERO-MARZO 2021'!$I543</f>
        <v>2</v>
      </c>
      <c r="K543" s="64"/>
      <c r="L543" s="64"/>
      <c r="M543" s="64"/>
      <c r="N543" s="64"/>
      <c r="O543" s="64">
        <f>+Tabla1[[#This Row],[STOCK    FISICO ENERO 2021]]-Tabla1[[#This Row],[REQUISICIONES FEBRERO 2021]]</f>
        <v>2</v>
      </c>
      <c r="P543" s="64">
        <f>+Tabla1[[#This Row],[STOCK  FEBRERO 2021]]-Tabla1[[#This Row],[REQUISICIONES MARZO 2021]]+Tabla1[[#This Row],[ENTRADAS MARZO 2021]]</f>
        <v>2</v>
      </c>
      <c r="Q543" s="31" t="s">
        <v>480</v>
      </c>
      <c r="R543" s="35">
        <v>2008.47</v>
      </c>
      <c r="S543" s="36">
        <f t="shared" si="21"/>
        <v>2369.9946</v>
      </c>
      <c r="T543" s="100">
        <f>Tabla1[[#This Row],[STOCK MARZO ]]*Tabla1[[#This Row],[COSTO UNITARIO SIN ITBIS]]</f>
        <v>4016.94</v>
      </c>
    </row>
    <row r="544" spans="1:20" s="9" customFormat="1" x14ac:dyDescent="0.25">
      <c r="A544" s="97">
        <v>25</v>
      </c>
      <c r="B544" s="32">
        <v>44026</v>
      </c>
      <c r="C544" s="29" t="s">
        <v>11</v>
      </c>
      <c r="D544" s="32">
        <v>44026</v>
      </c>
      <c r="E544" s="148"/>
      <c r="F544" s="14">
        <v>1569</v>
      </c>
      <c r="G544" s="77" t="s">
        <v>699</v>
      </c>
      <c r="H544" s="74">
        <v>2</v>
      </c>
      <c r="I544" s="74"/>
      <c r="J544" s="74">
        <f>+'INVENTARIO ENERO-MARZO 2021'!$H544-'INVENTARIO ENERO-MARZO 2021'!$I544</f>
        <v>2</v>
      </c>
      <c r="K544" s="74"/>
      <c r="L544" s="74"/>
      <c r="M544" s="74"/>
      <c r="N544" s="74">
        <v>1</v>
      </c>
      <c r="O544" s="74">
        <f>+Tabla1[[#This Row],[STOCK    FISICO ENERO 2021]]-Tabla1[[#This Row],[REQUISICIONES FEBRERO 2021]]</f>
        <v>2</v>
      </c>
      <c r="P544" s="74">
        <f>+Tabla1[[#This Row],[STOCK  FEBRERO 2021]]-Tabla1[[#This Row],[REQUISICIONES MARZO 2021]]+Tabla1[[#This Row],[ENTRADAS MARZO 2021]]</f>
        <v>1</v>
      </c>
      <c r="Q544" s="75" t="s">
        <v>12</v>
      </c>
      <c r="R544" s="78">
        <v>5491.52</v>
      </c>
      <c r="S544" s="36">
        <f t="shared" si="21"/>
        <v>6479.9936000000007</v>
      </c>
      <c r="T544" s="100">
        <f>Tabla1[[#This Row],[STOCK MARZO ]]*Tabla1[[#This Row],[COSTO UNITARIO SIN ITBIS]]</f>
        <v>5491.52</v>
      </c>
    </row>
    <row r="545" spans="1:20" s="9" customFormat="1" x14ac:dyDescent="0.25">
      <c r="A545" s="97">
        <v>26</v>
      </c>
      <c r="B545" s="76">
        <v>44168</v>
      </c>
      <c r="C545" s="14" t="s">
        <v>11</v>
      </c>
      <c r="D545" s="76">
        <v>44153</v>
      </c>
      <c r="E545" s="156"/>
      <c r="F545" s="14"/>
      <c r="G545" s="77" t="s">
        <v>700</v>
      </c>
      <c r="H545" s="74">
        <v>1</v>
      </c>
      <c r="I545" s="74"/>
      <c r="J545" s="74">
        <f>+'INVENTARIO ENERO-MARZO 2021'!$H545-'INVENTARIO ENERO-MARZO 2021'!$I545</f>
        <v>1</v>
      </c>
      <c r="K545" s="74"/>
      <c r="L545" s="74"/>
      <c r="M545" s="74"/>
      <c r="N545" s="74">
        <v>1</v>
      </c>
      <c r="O545" s="74">
        <f>+Tabla1[[#This Row],[STOCK    FISICO ENERO 2021]]-Tabla1[[#This Row],[REQUISICIONES FEBRERO 2021]]</f>
        <v>1</v>
      </c>
      <c r="P545" s="74">
        <f>+Tabla1[[#This Row],[STOCK  FEBRERO 2021]]-Tabla1[[#This Row],[REQUISICIONES MARZO 2021]]+Tabla1[[#This Row],[ENTRADAS MARZO 2021]]</f>
        <v>0</v>
      </c>
      <c r="Q545" s="75" t="s">
        <v>485</v>
      </c>
      <c r="R545" s="78">
        <v>4630</v>
      </c>
      <c r="S545" s="36">
        <f t="shared" si="21"/>
        <v>5463.4</v>
      </c>
      <c r="T545" s="100">
        <f>Tabla1[[#This Row],[STOCK MARZO ]]*Tabla1[[#This Row],[COSTO UNITARIO SIN ITBIS]]</f>
        <v>0</v>
      </c>
    </row>
    <row r="546" spans="1:20" s="9" customFormat="1" x14ac:dyDescent="0.25">
      <c r="A546" s="97">
        <v>27</v>
      </c>
      <c r="B546" s="76">
        <v>44168</v>
      </c>
      <c r="C546" s="14" t="s">
        <v>11</v>
      </c>
      <c r="D546" s="76">
        <v>44153</v>
      </c>
      <c r="E546" s="156"/>
      <c r="F546" s="14">
        <v>1580</v>
      </c>
      <c r="G546" s="77" t="s">
        <v>486</v>
      </c>
      <c r="H546" s="74">
        <v>10</v>
      </c>
      <c r="I546" s="74"/>
      <c r="J546" s="74">
        <f>+'INVENTARIO ENERO-MARZO 2021'!$H546-'INVENTARIO ENERO-MARZO 2021'!$I546</f>
        <v>10</v>
      </c>
      <c r="K546" s="74"/>
      <c r="L546" s="74"/>
      <c r="M546" s="74"/>
      <c r="N546" s="74">
        <v>1</v>
      </c>
      <c r="O546" s="74">
        <f>+Tabla1[[#This Row],[STOCK    FISICO ENERO 2021]]-Tabla1[[#This Row],[REQUISICIONES FEBRERO 2021]]</f>
        <v>10</v>
      </c>
      <c r="P546" s="74">
        <f>+Tabla1[[#This Row],[STOCK  FEBRERO 2021]]-Tabla1[[#This Row],[REQUISICIONES MARZO 2021]]+Tabla1[[#This Row],[ENTRADAS MARZO 2021]]</f>
        <v>9</v>
      </c>
      <c r="Q546" s="75" t="s">
        <v>12</v>
      </c>
      <c r="R546" s="78">
        <v>625.41999999999996</v>
      </c>
      <c r="S546" s="36">
        <f t="shared" si="21"/>
        <v>737.99559999999997</v>
      </c>
      <c r="T546" s="100">
        <f>Tabla1[[#This Row],[STOCK MARZO ]]*Tabla1[[#This Row],[COSTO UNITARIO SIN ITBIS]]</f>
        <v>5628.78</v>
      </c>
    </row>
    <row r="547" spans="1:20" s="9" customFormat="1" ht="15.75" customHeight="1" x14ac:dyDescent="0.25">
      <c r="A547" s="97">
        <v>28</v>
      </c>
      <c r="B547" s="76">
        <v>44168</v>
      </c>
      <c r="C547" s="14" t="s">
        <v>11</v>
      </c>
      <c r="D547" s="76">
        <v>44152</v>
      </c>
      <c r="E547" s="156"/>
      <c r="F547" s="29">
        <v>1192</v>
      </c>
      <c r="G547" s="33" t="s">
        <v>487</v>
      </c>
      <c r="H547" s="64">
        <v>15</v>
      </c>
      <c r="I547" s="64"/>
      <c r="J547" s="64">
        <f>+'INVENTARIO ENERO-MARZO 2021'!$H547-'INVENTARIO ENERO-MARZO 2021'!$I547</f>
        <v>15</v>
      </c>
      <c r="K547" s="64"/>
      <c r="L547" s="64"/>
      <c r="M547" s="64"/>
      <c r="N547" s="64"/>
      <c r="O547" s="64">
        <f>+Tabla1[[#This Row],[STOCK    FISICO ENERO 2021]]-Tabla1[[#This Row],[REQUISICIONES FEBRERO 2021]]</f>
        <v>15</v>
      </c>
      <c r="P547" s="64">
        <f>+Tabla1[[#This Row],[STOCK  FEBRERO 2021]]-Tabla1[[#This Row],[REQUISICIONES MARZO 2021]]+Tabla1[[#This Row],[ENTRADAS MARZO 2021]]</f>
        <v>15</v>
      </c>
      <c r="Q547" s="31" t="s">
        <v>12</v>
      </c>
      <c r="R547" s="35">
        <v>104.2</v>
      </c>
      <c r="S547" s="36">
        <f t="shared" si="21"/>
        <v>122.956</v>
      </c>
      <c r="T547" s="100">
        <f>Tabla1[[#This Row],[STOCK MARZO ]]*Tabla1[[#This Row],[COSTO UNITARIO SIN ITBIS]]</f>
        <v>1563</v>
      </c>
    </row>
    <row r="548" spans="1:20" s="9" customFormat="1" x14ac:dyDescent="0.25">
      <c r="A548" s="97">
        <v>29</v>
      </c>
      <c r="B548" s="32">
        <v>43075</v>
      </c>
      <c r="C548" s="14" t="s">
        <v>11</v>
      </c>
      <c r="D548" s="32">
        <v>43075</v>
      </c>
      <c r="E548" s="148"/>
      <c r="F548" s="73"/>
      <c r="G548" s="33" t="s">
        <v>488</v>
      </c>
      <c r="H548" s="73">
        <v>4</v>
      </c>
      <c r="I548" s="73"/>
      <c r="J548" s="73">
        <f>+'INVENTARIO ENERO-MARZO 2021'!$H548-'INVENTARIO ENERO-MARZO 2021'!$I548</f>
        <v>4</v>
      </c>
      <c r="K548" s="73"/>
      <c r="L548" s="73"/>
      <c r="M548" s="73"/>
      <c r="N548" s="73"/>
      <c r="O548" s="73">
        <f>+Tabla1[[#This Row],[STOCK    FISICO ENERO 2021]]-Tabla1[[#This Row],[REQUISICIONES FEBRERO 2021]]</f>
        <v>4</v>
      </c>
      <c r="P548" s="73">
        <f>+Tabla1[[#This Row],[STOCK  FEBRERO 2021]]-Tabla1[[#This Row],[REQUISICIONES MARZO 2021]]+Tabla1[[#This Row],[ENTRADAS MARZO 2021]]</f>
        <v>4</v>
      </c>
      <c r="Q548" s="31" t="s">
        <v>12</v>
      </c>
      <c r="R548" s="35">
        <v>250</v>
      </c>
      <c r="S548" s="36">
        <v>295</v>
      </c>
      <c r="T548" s="100">
        <f>Tabla1[[#This Row],[STOCK MARZO ]]*Tabla1[[#This Row],[COSTO UNITARIO SIN ITBIS]]</f>
        <v>1000</v>
      </c>
    </row>
    <row r="549" spans="1:20" s="9" customFormat="1" x14ac:dyDescent="0.25">
      <c r="A549" s="97">
        <v>30</v>
      </c>
      <c r="B549" s="32">
        <v>44109</v>
      </c>
      <c r="C549" s="14" t="s">
        <v>11</v>
      </c>
      <c r="D549" s="32">
        <v>44109</v>
      </c>
      <c r="E549" s="148"/>
      <c r="F549" s="29" t="s">
        <v>23</v>
      </c>
      <c r="G549" s="33" t="s">
        <v>701</v>
      </c>
      <c r="H549" s="64">
        <v>75</v>
      </c>
      <c r="I549" s="64"/>
      <c r="J549" s="64">
        <f>+'INVENTARIO ENERO-MARZO 2021'!$H549-'INVENTARIO ENERO-MARZO 2021'!$I549</f>
        <v>75</v>
      </c>
      <c r="K549" s="64"/>
      <c r="L549" s="64"/>
      <c r="M549" s="64"/>
      <c r="N549" s="64"/>
      <c r="O549" s="64">
        <f>+Tabla1[[#This Row],[STOCK    FISICO ENERO 2021]]-Tabla1[[#This Row],[REQUISICIONES FEBRERO 2021]]</f>
        <v>75</v>
      </c>
      <c r="P549" s="64">
        <f>+Tabla1[[#This Row],[STOCK  FEBRERO 2021]]-Tabla1[[#This Row],[REQUISICIONES MARZO 2021]]+Tabla1[[#This Row],[ENTRADAS MARZO 2021]]</f>
        <v>75</v>
      </c>
      <c r="Q549" s="31" t="s">
        <v>12</v>
      </c>
      <c r="R549" s="35">
        <v>0</v>
      </c>
      <c r="S549" s="36">
        <f>R549*0.18+R549</f>
        <v>0</v>
      </c>
      <c r="T549" s="100">
        <f>Tabla1[[#This Row],[STOCK MARZO ]]*Tabla1[[#This Row],[COSTO UNITARIO SIN ITBIS]]</f>
        <v>0</v>
      </c>
    </row>
    <row r="550" spans="1:20" s="9" customFormat="1" ht="15" customHeight="1" x14ac:dyDescent="0.25">
      <c r="A550" s="97">
        <v>31</v>
      </c>
      <c r="B550" s="32">
        <v>44168</v>
      </c>
      <c r="C550" s="14" t="s">
        <v>11</v>
      </c>
      <c r="D550" s="76">
        <v>44154</v>
      </c>
      <c r="E550" s="156"/>
      <c r="F550" s="14">
        <v>1574</v>
      </c>
      <c r="G550" s="77" t="s">
        <v>703</v>
      </c>
      <c r="H550" s="74">
        <v>9</v>
      </c>
      <c r="I550" s="74"/>
      <c r="J550" s="74">
        <f>+'INVENTARIO ENERO-MARZO 2021'!$H550-'INVENTARIO ENERO-MARZO 2021'!$I550</f>
        <v>9</v>
      </c>
      <c r="K550" s="74"/>
      <c r="L550" s="74"/>
      <c r="M550" s="74"/>
      <c r="N550" s="74"/>
      <c r="O550" s="74">
        <f>+Tabla1[[#This Row],[STOCK    FISICO ENERO 2021]]-Tabla1[[#This Row],[REQUISICIONES FEBRERO 2021]]</f>
        <v>9</v>
      </c>
      <c r="P550" s="74">
        <f>+Tabla1[[#This Row],[STOCK  FEBRERO 2021]]-Tabla1[[#This Row],[REQUISICIONES MARZO 2021]]+Tabla1[[#This Row],[ENTRADAS MARZO 2021]]</f>
        <v>9</v>
      </c>
      <c r="Q550" s="75" t="s">
        <v>12</v>
      </c>
      <c r="R550" s="78">
        <v>73.22</v>
      </c>
      <c r="S550" s="36">
        <f>R550*0.18+R550</f>
        <v>86.399599999999992</v>
      </c>
      <c r="T550" s="100">
        <f>Tabla1[[#This Row],[STOCK MARZO ]]*Tabla1[[#This Row],[COSTO UNITARIO SIN ITBIS]]</f>
        <v>658.98</v>
      </c>
    </row>
    <row r="551" spans="1:20" s="9" customFormat="1" x14ac:dyDescent="0.25">
      <c r="A551" s="97">
        <v>32</v>
      </c>
      <c r="B551" s="32">
        <v>44168</v>
      </c>
      <c r="C551" s="29" t="s">
        <v>11</v>
      </c>
      <c r="D551" s="32">
        <v>44154</v>
      </c>
      <c r="E551" s="148"/>
      <c r="F551" s="29">
        <v>1576</v>
      </c>
      <c r="G551" s="33" t="s">
        <v>702</v>
      </c>
      <c r="H551" s="64">
        <v>13</v>
      </c>
      <c r="I551" s="64"/>
      <c r="J551" s="64">
        <f>+'INVENTARIO ENERO-MARZO 2021'!$H551-'INVENTARIO ENERO-MARZO 2021'!$I551</f>
        <v>13</v>
      </c>
      <c r="K551" s="64"/>
      <c r="L551" s="64"/>
      <c r="M551" s="64"/>
      <c r="N551" s="64"/>
      <c r="O551" s="64">
        <f>+Tabla1[[#This Row],[STOCK    FISICO ENERO 2021]]-Tabla1[[#This Row],[REQUISICIONES FEBRERO 2021]]</f>
        <v>13</v>
      </c>
      <c r="P551" s="64">
        <f>+Tabla1[[#This Row],[STOCK  FEBRERO 2021]]-Tabla1[[#This Row],[REQUISICIONES MARZO 2021]]+Tabla1[[#This Row],[ENTRADAS MARZO 2021]]</f>
        <v>13</v>
      </c>
      <c r="Q551" s="31" t="s">
        <v>12</v>
      </c>
      <c r="R551" s="35">
        <v>81.349999999999994</v>
      </c>
      <c r="S551" s="36">
        <f>R551*0.18+R551</f>
        <v>95.992999999999995</v>
      </c>
      <c r="T551" s="100">
        <f>Tabla1[[#This Row],[STOCK MARZO ]]*Tabla1[[#This Row],[COSTO UNITARIO SIN ITBIS]]</f>
        <v>1057.55</v>
      </c>
    </row>
    <row r="552" spans="1:20" s="9" customFormat="1" x14ac:dyDescent="0.25">
      <c r="A552" s="97">
        <v>33</v>
      </c>
      <c r="B552" s="32">
        <v>44026</v>
      </c>
      <c r="C552" s="29" t="s">
        <v>11</v>
      </c>
      <c r="D552" s="32">
        <v>44026</v>
      </c>
      <c r="E552" s="148"/>
      <c r="F552" s="29">
        <v>1575</v>
      </c>
      <c r="G552" s="33" t="s">
        <v>489</v>
      </c>
      <c r="H552" s="64">
        <v>1</v>
      </c>
      <c r="I552" s="64"/>
      <c r="J552" s="64">
        <f>+'INVENTARIO ENERO-MARZO 2021'!$H552-'INVENTARIO ENERO-MARZO 2021'!$I552</f>
        <v>1</v>
      </c>
      <c r="K552" s="64"/>
      <c r="L552" s="64"/>
      <c r="M552" s="64"/>
      <c r="N552" s="64"/>
      <c r="O552" s="64">
        <f>+Tabla1[[#This Row],[STOCK    FISICO ENERO 2021]]-Tabla1[[#This Row],[REQUISICIONES FEBRERO 2021]]</f>
        <v>1</v>
      </c>
      <c r="P552" s="64">
        <f>+Tabla1[[#This Row],[STOCK  FEBRERO 2021]]-Tabla1[[#This Row],[REQUISICIONES MARZO 2021]]+Tabla1[[#This Row],[ENTRADAS MARZO 2021]]</f>
        <v>1</v>
      </c>
      <c r="Q552" s="31" t="s">
        <v>12</v>
      </c>
      <c r="R552" s="35">
        <v>50.84</v>
      </c>
      <c r="S552" s="36">
        <f>R552*0.18+R552</f>
        <v>59.991200000000006</v>
      </c>
      <c r="T552" s="100">
        <f>Tabla1[[#This Row],[STOCK MARZO ]]*Tabla1[[#This Row],[COSTO UNITARIO SIN ITBIS]]</f>
        <v>50.84</v>
      </c>
    </row>
    <row r="553" spans="1:20" s="9" customFormat="1" x14ac:dyDescent="0.25">
      <c r="A553" s="97">
        <v>34</v>
      </c>
      <c r="B553" s="76">
        <v>44168</v>
      </c>
      <c r="C553" s="14" t="s">
        <v>11</v>
      </c>
      <c r="D553" s="76">
        <v>44154</v>
      </c>
      <c r="E553" s="156"/>
      <c r="F553" s="14">
        <v>1577</v>
      </c>
      <c r="G553" s="77" t="s">
        <v>490</v>
      </c>
      <c r="H553" s="74">
        <v>20</v>
      </c>
      <c r="I553" s="74"/>
      <c r="J553" s="74">
        <f>+'INVENTARIO ENERO-MARZO 2021'!$H553-'INVENTARIO ENERO-MARZO 2021'!$I553</f>
        <v>20</v>
      </c>
      <c r="K553" s="74"/>
      <c r="L553" s="74"/>
      <c r="M553" s="74"/>
      <c r="N553" s="74"/>
      <c r="O553" s="74">
        <f>+Tabla1[[#This Row],[STOCK    FISICO ENERO 2021]]-Tabla1[[#This Row],[REQUISICIONES FEBRERO 2021]]</f>
        <v>20</v>
      </c>
      <c r="P553" s="74">
        <f>+Tabla1[[#This Row],[STOCK  FEBRERO 2021]]-Tabla1[[#This Row],[REQUISICIONES MARZO 2021]]+Tabla1[[#This Row],[ENTRADAS MARZO 2021]]</f>
        <v>20</v>
      </c>
      <c r="Q553" s="75" t="s">
        <v>12</v>
      </c>
      <c r="R553" s="78">
        <v>24.41</v>
      </c>
      <c r="S553" s="36">
        <f>R553*0.18+R553</f>
        <v>28.803799999999999</v>
      </c>
      <c r="T553" s="100">
        <f>Tabla1[[#This Row],[STOCK MARZO ]]*Tabla1[[#This Row],[COSTO UNITARIO SIN ITBIS]]</f>
        <v>488.2</v>
      </c>
    </row>
    <row r="554" spans="1:20" s="9" customFormat="1" ht="15.75" thickBot="1" x14ac:dyDescent="0.3">
      <c r="A554" s="57"/>
      <c r="B554" s="57"/>
      <c r="C554" s="57"/>
      <c r="D554" s="57"/>
      <c r="E554" s="152"/>
      <c r="F554" s="57"/>
      <c r="G554" s="57"/>
      <c r="H554" s="58"/>
      <c r="I554" s="58"/>
      <c r="J554" s="58">
        <f>+'INVENTARIO ENERO-MARZO 2021'!$H554-'INVENTARIO ENERO-MARZO 2021'!$I554</f>
        <v>0</v>
      </c>
      <c r="K554" s="58"/>
      <c r="L554" s="58"/>
      <c r="M554" s="58"/>
      <c r="N554" s="58"/>
      <c r="O554" s="58"/>
      <c r="P554" s="58">
        <f>+Tabla1[[#This Row],[STOCK  FEBRERO 2021]]-Tabla1[[#This Row],[REQUISICIONES MARZO 2021]]+Tabla1[[#This Row],[ENTRADAS MARZO 2021]]</f>
        <v>0</v>
      </c>
      <c r="Q554" s="57"/>
      <c r="R554" s="115"/>
      <c r="S554" s="115" t="s">
        <v>768</v>
      </c>
      <c r="T554" s="102">
        <f>SUM(T520:T553)</f>
        <v>74425.099999999991</v>
      </c>
    </row>
    <row r="555" spans="1:20" s="9" customFormat="1" ht="15.75" thickTop="1" x14ac:dyDescent="0.25">
      <c r="A555" s="62" t="s">
        <v>491</v>
      </c>
      <c r="B555" s="62"/>
      <c r="C555" s="62"/>
      <c r="D555" s="62"/>
      <c r="E555" s="103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103"/>
    </row>
    <row r="556" spans="1:20" s="9" customFormat="1" x14ac:dyDescent="0.25">
      <c r="A556" s="97">
        <v>1</v>
      </c>
      <c r="B556" s="76">
        <v>44028</v>
      </c>
      <c r="C556" s="14" t="s">
        <v>11</v>
      </c>
      <c r="D556" s="76">
        <v>44028</v>
      </c>
      <c r="E556" s="156"/>
      <c r="F556" s="14">
        <v>1812</v>
      </c>
      <c r="G556" s="77" t="s">
        <v>492</v>
      </c>
      <c r="H556" s="74">
        <v>1</v>
      </c>
      <c r="I556" s="74"/>
      <c r="J556" s="74">
        <f>+'INVENTARIO ENERO-MARZO 2021'!$H556-'INVENTARIO ENERO-MARZO 2021'!$I556</f>
        <v>1</v>
      </c>
      <c r="K556" s="74"/>
      <c r="L556" s="74"/>
      <c r="M556" s="74">
        <v>1</v>
      </c>
      <c r="N556" s="74"/>
      <c r="O556" s="74">
        <f>+Tabla1[[#This Row],[STOCK    FISICO ENERO 2021]]-Tabla1[[#This Row],[REQUISICIONES FEBRERO 2021]]</f>
        <v>0</v>
      </c>
      <c r="P556" s="74">
        <f>+Tabla1[[#This Row],[STOCK  FEBRERO 2021]]-Tabla1[[#This Row],[REQUISICIONES MARZO 2021]]+Tabla1[[#This Row],[ENTRADAS MARZO 2021]]</f>
        <v>0</v>
      </c>
      <c r="Q556" s="75" t="s">
        <v>112</v>
      </c>
      <c r="R556" s="78">
        <v>206.64</v>
      </c>
      <c r="S556" s="36">
        <f>R556*0.18+R556</f>
        <v>243.83519999999999</v>
      </c>
      <c r="T556" s="100">
        <f>Tabla1[[#This Row],[STOCK MARZO ]]*Tabla1[[#This Row],[COSTO UNITARIO SIN ITBIS]]</f>
        <v>0</v>
      </c>
    </row>
    <row r="557" spans="1:20" s="11" customFormat="1" ht="24.75" thickBot="1" x14ac:dyDescent="0.3">
      <c r="A557" s="57"/>
      <c r="B557" s="57"/>
      <c r="C557" s="57"/>
      <c r="D557" s="57"/>
      <c r="E557" s="152"/>
      <c r="F557" s="57"/>
      <c r="G557" s="57"/>
      <c r="H557" s="58"/>
      <c r="I557" s="58"/>
      <c r="J557" s="58">
        <f>+'INVENTARIO ENERO-MARZO 2021'!$H557-'INVENTARIO ENERO-MARZO 2021'!$I557</f>
        <v>0</v>
      </c>
      <c r="K557" s="58"/>
      <c r="L557" s="58"/>
      <c r="M557" s="58"/>
      <c r="N557" s="58"/>
      <c r="O557" s="58"/>
      <c r="P557" s="58">
        <f>+Tabla1[[#This Row],[STOCK  FEBRERO 2021]]-Tabla1[[#This Row],[REQUISICIONES MARZO 2021]]+Tabla1[[#This Row],[ENTRADAS MARZO 2021]]</f>
        <v>0</v>
      </c>
      <c r="Q557" s="57"/>
      <c r="R557" s="59"/>
      <c r="S557" s="59" t="s">
        <v>769</v>
      </c>
      <c r="T557" s="102">
        <f>SUM(T556:T556)</f>
        <v>0</v>
      </c>
    </row>
    <row r="558" spans="1:20" s="9" customFormat="1" ht="15.75" thickTop="1" x14ac:dyDescent="0.25">
      <c r="A558" s="62" t="s">
        <v>493</v>
      </c>
      <c r="B558" s="62"/>
      <c r="C558" s="62"/>
      <c r="D558" s="62"/>
      <c r="E558" s="103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103"/>
    </row>
    <row r="559" spans="1:20" x14ac:dyDescent="0.25">
      <c r="A559" s="97">
        <v>1</v>
      </c>
      <c r="B559" s="32">
        <v>44169</v>
      </c>
      <c r="C559" s="29" t="s">
        <v>11</v>
      </c>
      <c r="D559" s="32">
        <v>44147</v>
      </c>
      <c r="E559" s="148"/>
      <c r="F559" s="14">
        <v>1588</v>
      </c>
      <c r="G559" s="77" t="s">
        <v>494</v>
      </c>
      <c r="H559" s="74">
        <v>5</v>
      </c>
      <c r="I559" s="74">
        <v>2</v>
      </c>
      <c r="J559" s="74">
        <f>+'INVENTARIO ENERO-MARZO 2021'!$H559-'INVENTARIO ENERO-MARZO 2021'!$I559</f>
        <v>3</v>
      </c>
      <c r="K559" s="74"/>
      <c r="L559" s="74"/>
      <c r="M559" s="74">
        <v>1</v>
      </c>
      <c r="N559" s="74"/>
      <c r="O559" s="74">
        <f>+Tabla1[[#This Row],[STOCK    FISICO ENERO 2021]]-Tabla1[[#This Row],[REQUISICIONES FEBRERO 2021]]</f>
        <v>2</v>
      </c>
      <c r="P559" s="74">
        <f>+Tabla1[[#This Row],[STOCK  FEBRERO 2021]]-Tabla1[[#This Row],[REQUISICIONES MARZO 2021]]+Tabla1[[#This Row],[ENTRADAS MARZO 2021]]</f>
        <v>2</v>
      </c>
      <c r="Q559" s="75" t="s">
        <v>12</v>
      </c>
      <c r="R559" s="78">
        <v>45.76</v>
      </c>
      <c r="S559" s="36">
        <f>R559*0.18+R559</f>
        <v>53.996799999999993</v>
      </c>
      <c r="T559" s="100">
        <f>Tabla1[[#This Row],[STOCK MARZO ]]*Tabla1[[#This Row],[COSTO UNITARIO SIN ITBIS]]</f>
        <v>91.52</v>
      </c>
    </row>
    <row r="560" spans="1:20" s="11" customFormat="1" x14ac:dyDescent="0.25">
      <c r="A560" s="97">
        <v>2</v>
      </c>
      <c r="B560" s="32">
        <v>44169</v>
      </c>
      <c r="C560" s="29" t="s">
        <v>11</v>
      </c>
      <c r="D560" s="32">
        <v>44147</v>
      </c>
      <c r="E560" s="148"/>
      <c r="F560" s="29"/>
      <c r="G560" s="33" t="s">
        <v>495</v>
      </c>
      <c r="H560" s="64">
        <v>2</v>
      </c>
      <c r="I560" s="64"/>
      <c r="J560" s="64">
        <f>+'INVENTARIO ENERO-MARZO 2021'!$H560-'INVENTARIO ENERO-MARZO 2021'!$I560</f>
        <v>2</v>
      </c>
      <c r="K560" s="64"/>
      <c r="L560" s="64"/>
      <c r="M560" s="64"/>
      <c r="N560" s="64"/>
      <c r="O560" s="64">
        <f>+Tabla1[[#This Row],[STOCK    FISICO ENERO 2021]]-Tabla1[[#This Row],[REQUISICIONES FEBRERO 2021]]</f>
        <v>2</v>
      </c>
      <c r="P560" s="64">
        <f>+Tabla1[[#This Row],[STOCK  FEBRERO 2021]]-Tabla1[[#This Row],[REQUISICIONES MARZO 2021]]+Tabla1[[#This Row],[ENTRADAS MARZO 2021]]</f>
        <v>2</v>
      </c>
      <c r="Q560" s="31" t="s">
        <v>217</v>
      </c>
      <c r="R560" s="35">
        <v>4200</v>
      </c>
      <c r="S560" s="36">
        <f>R560*0.18+R560</f>
        <v>4956</v>
      </c>
      <c r="T560" s="100">
        <f>Tabla1[[#This Row],[STOCK MARZO ]]*Tabla1[[#This Row],[COSTO UNITARIO SIN ITBIS]]</f>
        <v>8400</v>
      </c>
    </row>
    <row r="561" spans="1:20" s="9" customFormat="1" x14ac:dyDescent="0.25">
      <c r="A561" s="97">
        <v>3</v>
      </c>
      <c r="B561" s="32">
        <v>44169</v>
      </c>
      <c r="C561" s="29" t="s">
        <v>11</v>
      </c>
      <c r="D561" s="32">
        <v>44147</v>
      </c>
      <c r="E561" s="148"/>
      <c r="F561" s="29"/>
      <c r="G561" s="33" t="s">
        <v>496</v>
      </c>
      <c r="H561" s="64">
        <v>2</v>
      </c>
      <c r="I561" s="64"/>
      <c r="J561" s="64">
        <f>+'INVENTARIO ENERO-MARZO 2021'!$H561-'INVENTARIO ENERO-MARZO 2021'!$I561</f>
        <v>2</v>
      </c>
      <c r="K561" s="64"/>
      <c r="L561" s="64"/>
      <c r="M561" s="64"/>
      <c r="N561" s="64"/>
      <c r="O561" s="64">
        <f>+Tabla1[[#This Row],[STOCK    FISICO ENERO 2021]]-Tabla1[[#This Row],[REQUISICIONES FEBRERO 2021]]</f>
        <v>2</v>
      </c>
      <c r="P561" s="64">
        <f>+Tabla1[[#This Row],[STOCK  FEBRERO 2021]]-Tabla1[[#This Row],[REQUISICIONES MARZO 2021]]+Tabla1[[#This Row],[ENTRADAS MARZO 2021]]</f>
        <v>2</v>
      </c>
      <c r="Q561" s="31" t="s">
        <v>210</v>
      </c>
      <c r="R561" s="35">
        <v>203</v>
      </c>
      <c r="S561" s="36">
        <v>278.48</v>
      </c>
      <c r="T561" s="100">
        <f>Tabla1[[#This Row],[STOCK MARZO ]]*Tabla1[[#This Row],[COSTO UNITARIO SIN ITBIS]]</f>
        <v>406</v>
      </c>
    </row>
    <row r="562" spans="1:20" s="9" customFormat="1" x14ac:dyDescent="0.25">
      <c r="A562" s="97">
        <v>4</v>
      </c>
      <c r="B562" s="32">
        <v>44169</v>
      </c>
      <c r="C562" s="29" t="s">
        <v>11</v>
      </c>
      <c r="D562" s="32">
        <v>44147</v>
      </c>
      <c r="E562" s="148"/>
      <c r="F562" s="29"/>
      <c r="G562" s="33" t="s">
        <v>705</v>
      </c>
      <c r="H562" s="64">
        <v>2</v>
      </c>
      <c r="I562" s="64"/>
      <c r="J562" s="64">
        <f>+'INVENTARIO ENERO-MARZO 2021'!$H562-'INVENTARIO ENERO-MARZO 2021'!$I562</f>
        <v>2</v>
      </c>
      <c r="K562" s="64"/>
      <c r="L562" s="64"/>
      <c r="M562" s="64"/>
      <c r="N562" s="64">
        <v>1</v>
      </c>
      <c r="O562" s="64">
        <f>+Tabla1[[#This Row],[STOCK    FISICO ENERO 2021]]-Tabla1[[#This Row],[REQUISICIONES FEBRERO 2021]]</f>
        <v>2</v>
      </c>
      <c r="P562" s="64">
        <f>+Tabla1[[#This Row],[STOCK  FEBRERO 2021]]-Tabla1[[#This Row],[REQUISICIONES MARZO 2021]]+Tabla1[[#This Row],[ENTRADAS MARZO 2021]]</f>
        <v>1</v>
      </c>
      <c r="Q562" s="31" t="s">
        <v>210</v>
      </c>
      <c r="R562" s="35">
        <v>480</v>
      </c>
      <c r="S562" s="36">
        <f t="shared" ref="S562:S570" si="22">R562*0.18+R562</f>
        <v>566.4</v>
      </c>
      <c r="T562" s="100">
        <f>Tabla1[[#This Row],[STOCK MARZO ]]*Tabla1[[#This Row],[COSTO UNITARIO SIN ITBIS]]</f>
        <v>480</v>
      </c>
    </row>
    <row r="563" spans="1:20" s="9" customFormat="1" x14ac:dyDescent="0.25">
      <c r="A563" s="97">
        <v>5</v>
      </c>
      <c r="B563" s="32">
        <v>44169</v>
      </c>
      <c r="C563" s="29" t="s">
        <v>11</v>
      </c>
      <c r="D563" s="32">
        <v>44147</v>
      </c>
      <c r="E563" s="148"/>
      <c r="F563" s="29"/>
      <c r="G563" s="33" t="s">
        <v>704</v>
      </c>
      <c r="H563" s="64">
        <v>2</v>
      </c>
      <c r="I563" s="64"/>
      <c r="J563" s="64">
        <f>+'INVENTARIO ENERO-MARZO 2021'!$H563-'INVENTARIO ENERO-MARZO 2021'!$I563</f>
        <v>2</v>
      </c>
      <c r="K563" s="64"/>
      <c r="L563" s="64"/>
      <c r="M563" s="64"/>
      <c r="N563" s="64"/>
      <c r="O563" s="64">
        <f>+Tabla1[[#This Row],[STOCK    FISICO ENERO 2021]]-Tabla1[[#This Row],[REQUISICIONES FEBRERO 2021]]</f>
        <v>2</v>
      </c>
      <c r="P563" s="64">
        <f>+Tabla1[[#This Row],[STOCK  FEBRERO 2021]]-Tabla1[[#This Row],[REQUISICIONES MARZO 2021]]+Tabla1[[#This Row],[ENTRADAS MARZO 2021]]</f>
        <v>2</v>
      </c>
      <c r="Q563" s="31" t="s">
        <v>210</v>
      </c>
      <c r="R563" s="35">
        <v>396</v>
      </c>
      <c r="S563" s="36">
        <f t="shared" si="22"/>
        <v>467.28</v>
      </c>
      <c r="T563" s="100">
        <f>Tabla1[[#This Row],[STOCK MARZO ]]*Tabla1[[#This Row],[COSTO UNITARIO SIN ITBIS]]</f>
        <v>792</v>
      </c>
    </row>
    <row r="564" spans="1:20" s="9" customFormat="1" x14ac:dyDescent="0.25">
      <c r="A564" s="97">
        <v>6</v>
      </c>
      <c r="B564" s="32">
        <v>44169</v>
      </c>
      <c r="C564" s="29" t="s">
        <v>11</v>
      </c>
      <c r="D564" s="32">
        <v>44147</v>
      </c>
      <c r="E564" s="148"/>
      <c r="F564" s="29">
        <v>1108</v>
      </c>
      <c r="G564" s="33" t="s">
        <v>497</v>
      </c>
      <c r="H564" s="64">
        <v>14</v>
      </c>
      <c r="I564" s="64"/>
      <c r="J564" s="64">
        <f>+'INVENTARIO ENERO-MARZO 2021'!$H564-'INVENTARIO ENERO-MARZO 2021'!$I564</f>
        <v>14</v>
      </c>
      <c r="K564" s="64"/>
      <c r="L564" s="64"/>
      <c r="M564" s="64">
        <v>4</v>
      </c>
      <c r="N564" s="64">
        <f>1+2</f>
        <v>3</v>
      </c>
      <c r="O564" s="64">
        <f>+Tabla1[[#This Row],[STOCK    FISICO ENERO 2021]]-Tabla1[[#This Row],[REQUISICIONES FEBRERO 2021]]</f>
        <v>10</v>
      </c>
      <c r="P564" s="64">
        <f>+Tabla1[[#This Row],[STOCK  FEBRERO 2021]]-Tabla1[[#This Row],[REQUISICIONES MARZO 2021]]+Tabla1[[#This Row],[ENTRADAS MARZO 2021]]</f>
        <v>7</v>
      </c>
      <c r="Q564" s="31" t="s">
        <v>757</v>
      </c>
      <c r="R564" s="35">
        <v>83.36</v>
      </c>
      <c r="S564" s="36">
        <f t="shared" si="22"/>
        <v>98.364800000000002</v>
      </c>
      <c r="T564" s="100">
        <f>Tabla1[[#This Row],[STOCK MARZO ]]*Tabla1[[#This Row],[COSTO UNITARIO SIN ITBIS]]</f>
        <v>583.52</v>
      </c>
    </row>
    <row r="565" spans="1:20" s="9" customFormat="1" x14ac:dyDescent="0.25">
      <c r="A565" s="97">
        <v>7</v>
      </c>
      <c r="B565" s="32">
        <v>44169</v>
      </c>
      <c r="C565" s="29" t="s">
        <v>11</v>
      </c>
      <c r="D565" s="32">
        <v>44147</v>
      </c>
      <c r="E565" s="148"/>
      <c r="F565" s="14">
        <v>1594</v>
      </c>
      <c r="G565" s="77" t="s">
        <v>498</v>
      </c>
      <c r="H565" s="74">
        <v>10</v>
      </c>
      <c r="I565" s="74"/>
      <c r="J565" s="74">
        <f>+'INVENTARIO ENERO-MARZO 2021'!$H565-'INVENTARIO ENERO-MARZO 2021'!$I565</f>
        <v>10</v>
      </c>
      <c r="K565" s="74"/>
      <c r="L565" s="74"/>
      <c r="M565" s="74"/>
      <c r="N565" s="74">
        <f>1+1</f>
        <v>2</v>
      </c>
      <c r="O565" s="74">
        <f>+Tabla1[[#This Row],[STOCK    FISICO ENERO 2021]]-Tabla1[[#This Row],[REQUISICIONES FEBRERO 2021]]</f>
        <v>10</v>
      </c>
      <c r="P565" s="74">
        <f>+Tabla1[[#This Row],[STOCK  FEBRERO 2021]]-Tabla1[[#This Row],[REQUISICIONES MARZO 2021]]+Tabla1[[#This Row],[ENTRADAS MARZO 2021]]</f>
        <v>8</v>
      </c>
      <c r="Q565" s="75" t="s">
        <v>112</v>
      </c>
      <c r="R565" s="78">
        <v>262.8</v>
      </c>
      <c r="S565" s="36">
        <f t="shared" si="22"/>
        <v>310.10400000000004</v>
      </c>
      <c r="T565" s="100">
        <f>Tabla1[[#This Row],[STOCK MARZO ]]*Tabla1[[#This Row],[COSTO UNITARIO SIN ITBIS]]</f>
        <v>2102.4</v>
      </c>
    </row>
    <row r="566" spans="1:20" s="9" customFormat="1" x14ac:dyDescent="0.25">
      <c r="A566" s="97">
        <v>8</v>
      </c>
      <c r="B566" s="32">
        <v>44169</v>
      </c>
      <c r="C566" s="29" t="s">
        <v>11</v>
      </c>
      <c r="D566" s="32">
        <v>44147</v>
      </c>
      <c r="E566" s="148"/>
      <c r="F566" s="29">
        <v>1291</v>
      </c>
      <c r="G566" s="33" t="s">
        <v>499</v>
      </c>
      <c r="H566" s="64">
        <v>4</v>
      </c>
      <c r="I566" s="64"/>
      <c r="J566" s="64">
        <f>+'INVENTARIO ENERO-MARZO 2021'!$H566-'INVENTARIO ENERO-MARZO 2021'!$I566</f>
        <v>4</v>
      </c>
      <c r="K566" s="64"/>
      <c r="L566" s="64"/>
      <c r="M566" s="64">
        <v>1</v>
      </c>
      <c r="N566" s="64"/>
      <c r="O566" s="64">
        <f>+Tabla1[[#This Row],[STOCK    FISICO ENERO 2021]]-Tabla1[[#This Row],[REQUISICIONES FEBRERO 2021]]</f>
        <v>3</v>
      </c>
      <c r="P566" s="64">
        <f>+Tabla1[[#This Row],[STOCK  FEBRERO 2021]]-Tabla1[[#This Row],[REQUISICIONES MARZO 2021]]+Tabla1[[#This Row],[ENTRADAS MARZO 2021]]</f>
        <v>3</v>
      </c>
      <c r="Q566" s="31" t="s">
        <v>182</v>
      </c>
      <c r="R566" s="35">
        <v>270.51</v>
      </c>
      <c r="S566" s="36">
        <f t="shared" si="22"/>
        <v>319.20179999999999</v>
      </c>
      <c r="T566" s="100">
        <f>Tabla1[[#This Row],[STOCK MARZO ]]*Tabla1[[#This Row],[COSTO UNITARIO SIN ITBIS]]</f>
        <v>811.53</v>
      </c>
    </row>
    <row r="567" spans="1:20" s="9" customFormat="1" x14ac:dyDescent="0.25">
      <c r="A567" s="97">
        <v>9</v>
      </c>
      <c r="B567" s="76">
        <v>44026</v>
      </c>
      <c r="C567" s="14" t="s">
        <v>11</v>
      </c>
      <c r="D567" s="76">
        <v>44026</v>
      </c>
      <c r="E567" s="156"/>
      <c r="F567" s="29">
        <v>1540</v>
      </c>
      <c r="G567" s="33" t="s">
        <v>500</v>
      </c>
      <c r="H567" s="64">
        <v>5</v>
      </c>
      <c r="I567" s="64"/>
      <c r="J567" s="64">
        <f>+'INVENTARIO ENERO-MARZO 2021'!$H567-'INVENTARIO ENERO-MARZO 2021'!$I567</f>
        <v>5</v>
      </c>
      <c r="K567" s="64"/>
      <c r="L567" s="64"/>
      <c r="M567" s="64"/>
      <c r="N567" s="64"/>
      <c r="O567" s="64">
        <f>+Tabla1[[#This Row],[STOCK    FISICO ENERO 2021]]-Tabla1[[#This Row],[REQUISICIONES FEBRERO 2021]]</f>
        <v>5</v>
      </c>
      <c r="P567" s="64">
        <f>+Tabla1[[#This Row],[STOCK  FEBRERO 2021]]-Tabla1[[#This Row],[REQUISICIONES MARZO 2021]]+Tabla1[[#This Row],[ENTRADAS MARZO 2021]]</f>
        <v>5</v>
      </c>
      <c r="Q567" s="31" t="s">
        <v>182</v>
      </c>
      <c r="R567" s="35">
        <v>438.92</v>
      </c>
      <c r="S567" s="36">
        <f t="shared" si="22"/>
        <v>517.92560000000003</v>
      </c>
      <c r="T567" s="100">
        <f>Tabla1[[#This Row],[STOCK MARZO ]]*Tabla1[[#This Row],[COSTO UNITARIO SIN ITBIS]]</f>
        <v>2194.6</v>
      </c>
    </row>
    <row r="568" spans="1:20" s="9" customFormat="1" x14ac:dyDescent="0.25">
      <c r="A568" s="97">
        <v>10</v>
      </c>
      <c r="B568" s="76">
        <v>44026</v>
      </c>
      <c r="C568" s="14" t="s">
        <v>11</v>
      </c>
      <c r="D568" s="76">
        <v>44026</v>
      </c>
      <c r="E568" s="156"/>
      <c r="F568" s="29"/>
      <c r="G568" s="33" t="s">
        <v>501</v>
      </c>
      <c r="H568" s="64">
        <v>4</v>
      </c>
      <c r="I568" s="64"/>
      <c r="J568" s="64">
        <f>+'INVENTARIO ENERO-MARZO 2021'!$H568-'INVENTARIO ENERO-MARZO 2021'!$I568</f>
        <v>4</v>
      </c>
      <c r="K568" s="64"/>
      <c r="L568" s="64"/>
      <c r="M568" s="64"/>
      <c r="N568" s="64"/>
      <c r="O568" s="64">
        <f>+Tabla1[[#This Row],[STOCK    FISICO ENERO 2021]]-Tabla1[[#This Row],[REQUISICIONES FEBRERO 2021]]</f>
        <v>4</v>
      </c>
      <c r="P568" s="64">
        <f>+Tabla1[[#This Row],[STOCK  FEBRERO 2021]]-Tabla1[[#This Row],[REQUISICIONES MARZO 2021]]+Tabla1[[#This Row],[ENTRADAS MARZO 2021]]</f>
        <v>4</v>
      </c>
      <c r="Q568" s="31" t="s">
        <v>182</v>
      </c>
      <c r="R568" s="35">
        <v>788.59</v>
      </c>
      <c r="S568" s="36">
        <f t="shared" si="22"/>
        <v>930.53620000000001</v>
      </c>
      <c r="T568" s="100">
        <f>Tabla1[[#This Row],[STOCK MARZO ]]*Tabla1[[#This Row],[COSTO UNITARIO SIN ITBIS]]</f>
        <v>3154.36</v>
      </c>
    </row>
    <row r="569" spans="1:20" s="9" customFormat="1" x14ac:dyDescent="0.25">
      <c r="A569" s="97">
        <v>11</v>
      </c>
      <c r="B569" s="32">
        <v>44026</v>
      </c>
      <c r="C569" s="29" t="s">
        <v>11</v>
      </c>
      <c r="D569" s="32">
        <v>44026</v>
      </c>
      <c r="E569" s="148"/>
      <c r="F569" s="29"/>
      <c r="G569" s="33" t="s">
        <v>502</v>
      </c>
      <c r="H569" s="64">
        <v>5</v>
      </c>
      <c r="I569" s="64"/>
      <c r="J569" s="64">
        <f>+'INVENTARIO ENERO-MARZO 2021'!$H569-'INVENTARIO ENERO-MARZO 2021'!$I569</f>
        <v>5</v>
      </c>
      <c r="K569" s="64"/>
      <c r="L569" s="64"/>
      <c r="M569" s="64"/>
      <c r="N569" s="64"/>
      <c r="O569" s="64">
        <f>+Tabla1[[#This Row],[STOCK    FISICO ENERO 2021]]-Tabla1[[#This Row],[REQUISICIONES FEBRERO 2021]]</f>
        <v>5</v>
      </c>
      <c r="P569" s="64">
        <f>+Tabla1[[#This Row],[STOCK  FEBRERO 2021]]-Tabla1[[#This Row],[REQUISICIONES MARZO 2021]]+Tabla1[[#This Row],[ENTRADAS MARZO 2021]]</f>
        <v>5</v>
      </c>
      <c r="Q569" s="31" t="s">
        <v>182</v>
      </c>
      <c r="R569" s="35">
        <v>763.16</v>
      </c>
      <c r="S569" s="36">
        <f t="shared" si="22"/>
        <v>900.52879999999993</v>
      </c>
      <c r="T569" s="100">
        <f>Tabla1[[#This Row],[STOCK MARZO ]]*Tabla1[[#This Row],[COSTO UNITARIO SIN ITBIS]]</f>
        <v>3815.7999999999997</v>
      </c>
    </row>
    <row r="570" spans="1:20" s="9" customFormat="1" x14ac:dyDescent="0.25">
      <c r="A570" s="97">
        <v>12</v>
      </c>
      <c r="B570" s="76">
        <v>44026</v>
      </c>
      <c r="C570" s="14" t="s">
        <v>11</v>
      </c>
      <c r="D570" s="76">
        <v>44026</v>
      </c>
      <c r="E570" s="156"/>
      <c r="F570" s="14">
        <v>1541</v>
      </c>
      <c r="G570" s="77" t="s">
        <v>503</v>
      </c>
      <c r="H570" s="74">
        <v>22</v>
      </c>
      <c r="I570" s="74"/>
      <c r="J570" s="74">
        <f>+'INVENTARIO ENERO-MARZO 2021'!$H570-'INVENTARIO ENERO-MARZO 2021'!$I570</f>
        <v>22</v>
      </c>
      <c r="K570" s="74"/>
      <c r="L570" s="74"/>
      <c r="M570" s="74"/>
      <c r="N570" s="74"/>
      <c r="O570" s="74">
        <f>+Tabla1[[#This Row],[STOCK    FISICO ENERO 2021]]-Tabla1[[#This Row],[REQUISICIONES FEBRERO 2021]]</f>
        <v>22</v>
      </c>
      <c r="P570" s="74">
        <f>+Tabla1[[#This Row],[STOCK  FEBRERO 2021]]-Tabla1[[#This Row],[REQUISICIONES MARZO 2021]]+Tabla1[[#This Row],[ENTRADAS MARZO 2021]]</f>
        <v>22</v>
      </c>
      <c r="Q570" s="31" t="s">
        <v>182</v>
      </c>
      <c r="R570" s="78">
        <v>935.59</v>
      </c>
      <c r="S570" s="36">
        <f t="shared" si="22"/>
        <v>1103.9962</v>
      </c>
      <c r="T570" s="100">
        <f>Tabla1[[#This Row],[STOCK MARZO ]]*Tabla1[[#This Row],[COSTO UNITARIO SIN ITBIS]]</f>
        <v>20582.98</v>
      </c>
    </row>
    <row r="571" spans="1:20" s="9" customFormat="1" ht="15.75" customHeight="1" x14ac:dyDescent="0.25">
      <c r="A571" s="97">
        <v>13</v>
      </c>
      <c r="B571" s="32">
        <v>44026</v>
      </c>
      <c r="C571" s="29" t="s">
        <v>11</v>
      </c>
      <c r="D571" s="32">
        <v>44026</v>
      </c>
      <c r="E571" s="148"/>
      <c r="F571" s="14"/>
      <c r="G571" s="77" t="s">
        <v>504</v>
      </c>
      <c r="H571" s="74">
        <v>3</v>
      </c>
      <c r="I571" s="74"/>
      <c r="J571" s="74">
        <f>+'INVENTARIO ENERO-MARZO 2021'!$H571-'INVENTARIO ENERO-MARZO 2021'!$I571</f>
        <v>3</v>
      </c>
      <c r="K571" s="74"/>
      <c r="L571" s="74"/>
      <c r="M571" s="74"/>
      <c r="N571" s="74"/>
      <c r="O571" s="74">
        <f>+Tabla1[[#This Row],[STOCK    FISICO ENERO 2021]]-Tabla1[[#This Row],[REQUISICIONES FEBRERO 2021]]</f>
        <v>3</v>
      </c>
      <c r="P571" s="74">
        <f>+Tabla1[[#This Row],[STOCK  FEBRERO 2021]]-Tabla1[[#This Row],[REQUISICIONES MARZO 2021]]+Tabla1[[#This Row],[ENTRADAS MARZO 2021]]</f>
        <v>3</v>
      </c>
      <c r="Q571" s="31" t="s">
        <v>182</v>
      </c>
      <c r="R571" s="78">
        <v>1480</v>
      </c>
      <c r="S571" s="36">
        <v>1746.4</v>
      </c>
      <c r="T571" s="100">
        <f>Tabla1[[#This Row],[STOCK MARZO ]]*Tabla1[[#This Row],[COSTO UNITARIO SIN ITBIS]]</f>
        <v>4440</v>
      </c>
    </row>
    <row r="572" spans="1:20" s="9" customFormat="1" x14ac:dyDescent="0.25">
      <c r="A572" s="97">
        <v>14</v>
      </c>
      <c r="B572" s="32">
        <v>44169</v>
      </c>
      <c r="C572" s="29" t="s">
        <v>11</v>
      </c>
      <c r="D572" s="32">
        <v>44147</v>
      </c>
      <c r="E572" s="148"/>
      <c r="F572" s="29">
        <v>1535</v>
      </c>
      <c r="G572" s="33" t="s">
        <v>505</v>
      </c>
      <c r="H572" s="64">
        <v>3</v>
      </c>
      <c r="I572" s="64">
        <v>1</v>
      </c>
      <c r="J572" s="64">
        <f>+'INVENTARIO ENERO-MARZO 2021'!$H572-'INVENTARIO ENERO-MARZO 2021'!$I572</f>
        <v>2</v>
      </c>
      <c r="K572" s="64"/>
      <c r="L572" s="64"/>
      <c r="M572" s="64"/>
      <c r="N572" s="64"/>
      <c r="O572" s="64">
        <f>+Tabla1[[#This Row],[STOCK    FISICO ENERO 2021]]-Tabla1[[#This Row],[REQUISICIONES FEBRERO 2021]]</f>
        <v>2</v>
      </c>
      <c r="P572" s="64">
        <f>+Tabla1[[#This Row],[STOCK  FEBRERO 2021]]-Tabla1[[#This Row],[REQUISICIONES MARZO 2021]]+Tabla1[[#This Row],[ENTRADAS MARZO 2021]]</f>
        <v>2</v>
      </c>
      <c r="Q572" s="31" t="s">
        <v>182</v>
      </c>
      <c r="R572" s="35">
        <v>1134.92</v>
      </c>
      <c r="S572" s="36">
        <f>R572*0.18+R572</f>
        <v>1339.2056</v>
      </c>
      <c r="T572" s="100">
        <f>Tabla1[[#This Row],[STOCK MARZO ]]*Tabla1[[#This Row],[COSTO UNITARIO SIN ITBIS]]</f>
        <v>2269.84</v>
      </c>
    </row>
    <row r="573" spans="1:20" s="9" customFormat="1" x14ac:dyDescent="0.25">
      <c r="A573" s="97">
        <v>15</v>
      </c>
      <c r="B573" s="76">
        <v>44169</v>
      </c>
      <c r="C573" s="29" t="s">
        <v>11</v>
      </c>
      <c r="D573" s="76">
        <v>44147</v>
      </c>
      <c r="E573" s="156"/>
      <c r="F573" s="14">
        <v>1539</v>
      </c>
      <c r="G573" s="77" t="s">
        <v>506</v>
      </c>
      <c r="H573" s="74">
        <v>3</v>
      </c>
      <c r="I573" s="74"/>
      <c r="J573" s="74">
        <f>+'INVENTARIO ENERO-MARZO 2021'!$H573-'INVENTARIO ENERO-MARZO 2021'!$I573</f>
        <v>3</v>
      </c>
      <c r="K573" s="74"/>
      <c r="L573" s="74"/>
      <c r="M573" s="74"/>
      <c r="N573" s="74"/>
      <c r="O573" s="74">
        <f>+Tabla1[[#This Row],[STOCK    FISICO ENERO 2021]]-Tabla1[[#This Row],[REQUISICIONES FEBRERO 2021]]</f>
        <v>3</v>
      </c>
      <c r="P573" s="74">
        <f>+Tabla1[[#This Row],[STOCK  FEBRERO 2021]]-Tabla1[[#This Row],[REQUISICIONES MARZO 2021]]+Tabla1[[#This Row],[ENTRADAS MARZO 2021]]</f>
        <v>3</v>
      </c>
      <c r="Q573" s="31" t="s">
        <v>182</v>
      </c>
      <c r="R573" s="78">
        <v>615.25</v>
      </c>
      <c r="S573" s="36">
        <f>R573*0.18+R573</f>
        <v>725.995</v>
      </c>
      <c r="T573" s="100">
        <f>Tabla1[[#This Row],[STOCK MARZO ]]*Tabla1[[#This Row],[COSTO UNITARIO SIN ITBIS]]</f>
        <v>1845.75</v>
      </c>
    </row>
    <row r="574" spans="1:20" s="9" customFormat="1" x14ac:dyDescent="0.25">
      <c r="A574" s="97">
        <v>16</v>
      </c>
      <c r="B574" s="76">
        <v>44169</v>
      </c>
      <c r="C574" s="29" t="s">
        <v>11</v>
      </c>
      <c r="D574" s="76">
        <v>44147</v>
      </c>
      <c r="E574" s="156"/>
      <c r="F574" s="29">
        <v>1176</v>
      </c>
      <c r="G574" s="33" t="s">
        <v>507</v>
      </c>
      <c r="H574" s="64">
        <v>18</v>
      </c>
      <c r="I574" s="64"/>
      <c r="J574" s="64">
        <f>+'INVENTARIO ENERO-MARZO 2021'!$H574-'INVENTARIO ENERO-MARZO 2021'!$I574</f>
        <v>18</v>
      </c>
      <c r="K574" s="64"/>
      <c r="L574" s="64"/>
      <c r="M574" s="64">
        <v>1</v>
      </c>
      <c r="N574" s="64">
        <v>1</v>
      </c>
      <c r="O574" s="64">
        <f>+Tabla1[[#This Row],[STOCK    FISICO ENERO 2021]]-Tabla1[[#This Row],[REQUISICIONES FEBRERO 2021]]</f>
        <v>17</v>
      </c>
      <c r="P574" s="64">
        <f>+Tabla1[[#This Row],[STOCK  FEBRERO 2021]]-Tabla1[[#This Row],[REQUISICIONES MARZO 2021]]+Tabla1[[#This Row],[ENTRADAS MARZO 2021]]</f>
        <v>16</v>
      </c>
      <c r="Q574" s="31" t="s">
        <v>508</v>
      </c>
      <c r="R574" s="35">
        <v>788</v>
      </c>
      <c r="S574" s="36">
        <v>929.84</v>
      </c>
      <c r="T574" s="100">
        <f>Tabla1[[#This Row],[STOCK MARZO ]]*Tabla1[[#This Row],[COSTO UNITARIO SIN ITBIS]]</f>
        <v>12608</v>
      </c>
    </row>
    <row r="575" spans="1:20" s="9" customFormat="1" x14ac:dyDescent="0.25">
      <c r="A575" s="97">
        <v>17</v>
      </c>
      <c r="B575" s="76">
        <v>44026</v>
      </c>
      <c r="C575" s="29" t="s">
        <v>11</v>
      </c>
      <c r="D575" s="76">
        <v>44026</v>
      </c>
      <c r="E575" s="156"/>
      <c r="F575" s="29">
        <v>1115</v>
      </c>
      <c r="G575" s="33" t="s">
        <v>509</v>
      </c>
      <c r="H575" s="64">
        <v>47</v>
      </c>
      <c r="I575" s="64"/>
      <c r="J575" s="64">
        <f>+'INVENTARIO ENERO-MARZO 2021'!$H575-'INVENTARIO ENERO-MARZO 2021'!$I575</f>
        <v>47</v>
      </c>
      <c r="K575" s="64"/>
      <c r="L575" s="64"/>
      <c r="M575" s="64"/>
      <c r="N575" s="64"/>
      <c r="O575" s="64">
        <f>+Tabla1[[#This Row],[STOCK    FISICO ENERO 2021]]-Tabla1[[#This Row],[REQUISICIONES FEBRERO 2021]]</f>
        <v>47</v>
      </c>
      <c r="P575" s="64">
        <f>+Tabla1[[#This Row],[STOCK  FEBRERO 2021]]-Tabla1[[#This Row],[REQUISICIONES MARZO 2021]]+Tabla1[[#This Row],[ENTRADAS MARZO 2021]]</f>
        <v>47</v>
      </c>
      <c r="Q575" s="31" t="s">
        <v>12</v>
      </c>
      <c r="R575" s="35">
        <v>65</v>
      </c>
      <c r="S575" s="36">
        <f>R575*0.18+R575</f>
        <v>76.7</v>
      </c>
      <c r="T575" s="100">
        <f>Tabla1[[#This Row],[STOCK MARZO ]]*Tabla1[[#This Row],[COSTO UNITARIO SIN ITBIS]]</f>
        <v>3055</v>
      </c>
    </row>
    <row r="576" spans="1:20" s="9" customFormat="1" ht="16.5" customHeight="1" x14ac:dyDescent="0.25">
      <c r="A576" s="97">
        <v>18</v>
      </c>
      <c r="B576" s="32">
        <v>44169</v>
      </c>
      <c r="C576" s="29" t="s">
        <v>11</v>
      </c>
      <c r="D576" s="32">
        <v>44147</v>
      </c>
      <c r="E576" s="148"/>
      <c r="F576" s="29">
        <v>1116</v>
      </c>
      <c r="G576" s="33" t="s">
        <v>510</v>
      </c>
      <c r="H576" s="64">
        <v>54</v>
      </c>
      <c r="I576" s="64"/>
      <c r="J576" s="64">
        <f>+'INVENTARIO ENERO-MARZO 2021'!$H576-'INVENTARIO ENERO-MARZO 2021'!$I576</f>
        <v>54</v>
      </c>
      <c r="K576" s="64"/>
      <c r="L576" s="64"/>
      <c r="M576" s="64"/>
      <c r="N576" s="64"/>
      <c r="O576" s="64">
        <f>+Tabla1[[#This Row],[STOCK    FISICO ENERO 2021]]-Tabla1[[#This Row],[REQUISICIONES FEBRERO 2021]]</f>
        <v>54</v>
      </c>
      <c r="P576" s="64">
        <f>+Tabla1[[#This Row],[STOCK  FEBRERO 2021]]-Tabla1[[#This Row],[REQUISICIONES MARZO 2021]]+Tabla1[[#This Row],[ENTRADAS MARZO 2021]]</f>
        <v>54</v>
      </c>
      <c r="Q576" s="31" t="s">
        <v>12</v>
      </c>
      <c r="R576" s="35">
        <v>65</v>
      </c>
      <c r="S576" s="36">
        <f>R576*0.18+R576</f>
        <v>76.7</v>
      </c>
      <c r="T576" s="100">
        <f>Tabla1[[#This Row],[STOCK MARZO ]]*Tabla1[[#This Row],[COSTO UNITARIO SIN ITBIS]]</f>
        <v>3510</v>
      </c>
    </row>
    <row r="577" spans="1:20" s="9" customFormat="1" ht="15.75" customHeight="1" x14ac:dyDescent="0.25">
      <c r="A577" s="97">
        <v>19</v>
      </c>
      <c r="B577" s="32">
        <v>44169</v>
      </c>
      <c r="C577" s="29" t="s">
        <v>11</v>
      </c>
      <c r="D577" s="32">
        <v>44147</v>
      </c>
      <c r="E577" s="148"/>
      <c r="F577" s="14">
        <v>1114</v>
      </c>
      <c r="G577" s="77" t="s">
        <v>511</v>
      </c>
      <c r="H577" s="74">
        <v>24</v>
      </c>
      <c r="I577" s="74"/>
      <c r="J577" s="74">
        <f>+'INVENTARIO ENERO-MARZO 2021'!$H577-'INVENTARIO ENERO-MARZO 2021'!$I577</f>
        <v>24</v>
      </c>
      <c r="K577" s="74"/>
      <c r="L577" s="74"/>
      <c r="M577" s="74">
        <v>1</v>
      </c>
      <c r="N577" s="74"/>
      <c r="O577" s="74">
        <f>+Tabla1[[#This Row],[STOCK    FISICO ENERO 2021]]-Tabla1[[#This Row],[REQUISICIONES FEBRERO 2021]]</f>
        <v>23</v>
      </c>
      <c r="P577" s="74">
        <f>+Tabla1[[#This Row],[STOCK  FEBRERO 2021]]-Tabla1[[#This Row],[REQUISICIONES MARZO 2021]]+Tabla1[[#This Row],[ENTRADAS MARZO 2021]]</f>
        <v>23</v>
      </c>
      <c r="Q577" s="75" t="s">
        <v>12</v>
      </c>
      <c r="R577" s="78">
        <v>37.5</v>
      </c>
      <c r="S577" s="36">
        <f>R577*0.18+R577</f>
        <v>44.25</v>
      </c>
      <c r="T577" s="100">
        <f>Tabla1[[#This Row],[STOCK MARZO ]]*Tabla1[[#This Row],[COSTO UNITARIO SIN ITBIS]]</f>
        <v>862.5</v>
      </c>
    </row>
    <row r="578" spans="1:20" s="9" customFormat="1" x14ac:dyDescent="0.25">
      <c r="A578" s="97">
        <v>20</v>
      </c>
      <c r="B578" s="76">
        <v>44026</v>
      </c>
      <c r="C578" s="29" t="s">
        <v>11</v>
      </c>
      <c r="D578" s="76">
        <v>44026</v>
      </c>
      <c r="E578" s="156"/>
      <c r="F578" s="29">
        <v>1117</v>
      </c>
      <c r="G578" s="33" t="s">
        <v>512</v>
      </c>
      <c r="H578" s="64">
        <v>21</v>
      </c>
      <c r="I578" s="64"/>
      <c r="J578" s="64">
        <f>+'INVENTARIO ENERO-MARZO 2021'!$H578-'INVENTARIO ENERO-MARZO 2021'!$I578</f>
        <v>21</v>
      </c>
      <c r="K578" s="64"/>
      <c r="L578" s="64"/>
      <c r="M578" s="64">
        <v>2</v>
      </c>
      <c r="N578" s="64"/>
      <c r="O578" s="64">
        <f>+Tabla1[[#This Row],[STOCK    FISICO ENERO 2021]]-Tabla1[[#This Row],[REQUISICIONES FEBRERO 2021]]</f>
        <v>19</v>
      </c>
      <c r="P578" s="64">
        <f>+Tabla1[[#This Row],[STOCK  FEBRERO 2021]]-Tabla1[[#This Row],[REQUISICIONES MARZO 2021]]+Tabla1[[#This Row],[ENTRADAS MARZO 2021]]</f>
        <v>19</v>
      </c>
      <c r="Q578" s="31" t="s">
        <v>12</v>
      </c>
      <c r="R578" s="35">
        <v>65</v>
      </c>
      <c r="S578" s="36">
        <f>R578*0.18+R578</f>
        <v>76.7</v>
      </c>
      <c r="T578" s="100">
        <f>Tabla1[[#This Row],[STOCK MARZO ]]*Tabla1[[#This Row],[COSTO UNITARIO SIN ITBIS]]</f>
        <v>1235</v>
      </c>
    </row>
    <row r="579" spans="1:20" s="9" customFormat="1" x14ac:dyDescent="0.25">
      <c r="A579" s="97">
        <v>21</v>
      </c>
      <c r="B579" s="32">
        <v>43088</v>
      </c>
      <c r="C579" s="29" t="s">
        <v>11</v>
      </c>
      <c r="D579" s="32">
        <v>43088</v>
      </c>
      <c r="E579" s="148"/>
      <c r="F579" s="29">
        <v>1507</v>
      </c>
      <c r="G579" s="33" t="s">
        <v>513</v>
      </c>
      <c r="H579" s="64">
        <v>30</v>
      </c>
      <c r="I579" s="64">
        <v>2</v>
      </c>
      <c r="J579" s="64">
        <f>+'INVENTARIO ENERO-MARZO 2021'!$H579-'INVENTARIO ENERO-MARZO 2021'!$I579</f>
        <v>28</v>
      </c>
      <c r="K579" s="64"/>
      <c r="L579" s="64"/>
      <c r="M579" s="64"/>
      <c r="N579" s="64">
        <v>2</v>
      </c>
      <c r="O579" s="64">
        <f>+Tabla1[[#This Row],[STOCK    FISICO ENERO 2021]]-Tabla1[[#This Row],[REQUISICIONES FEBRERO 2021]]</f>
        <v>28</v>
      </c>
      <c r="P579" s="64">
        <f>+Tabla1[[#This Row],[STOCK  FEBRERO 2021]]-Tabla1[[#This Row],[REQUISICIONES MARZO 2021]]+Tabla1[[#This Row],[ENTRADAS MARZO 2021]]</f>
        <v>26</v>
      </c>
      <c r="Q579" s="31" t="s">
        <v>112</v>
      </c>
      <c r="R579" s="35">
        <v>15.6</v>
      </c>
      <c r="S579" s="36">
        <f>R579*0.18+R579</f>
        <v>18.408000000000001</v>
      </c>
      <c r="T579" s="100">
        <f>Tabla1[[#This Row],[STOCK MARZO ]]*Tabla1[[#This Row],[COSTO UNITARIO SIN ITBIS]]</f>
        <v>405.59999999999997</v>
      </c>
    </row>
    <row r="580" spans="1:20" s="9" customFormat="1" x14ac:dyDescent="0.25">
      <c r="A580" s="97">
        <v>22</v>
      </c>
      <c r="B580" s="32">
        <v>43088</v>
      </c>
      <c r="C580" s="29" t="s">
        <v>11</v>
      </c>
      <c r="D580" s="32">
        <v>43088</v>
      </c>
      <c r="E580" s="148"/>
      <c r="F580" s="29">
        <v>1119</v>
      </c>
      <c r="G580" s="33" t="s">
        <v>514</v>
      </c>
      <c r="H580" s="64">
        <v>16</v>
      </c>
      <c r="I580" s="64"/>
      <c r="J580" s="64">
        <f>+'INVENTARIO ENERO-MARZO 2021'!$H580-'INVENTARIO ENERO-MARZO 2021'!$I580</f>
        <v>16</v>
      </c>
      <c r="K580" s="64"/>
      <c r="L580" s="64"/>
      <c r="M580" s="64">
        <v>2</v>
      </c>
      <c r="N580" s="64">
        <v>1</v>
      </c>
      <c r="O580" s="64">
        <f>+Tabla1[[#This Row],[STOCK    FISICO ENERO 2021]]-Tabla1[[#This Row],[REQUISICIONES FEBRERO 2021]]</f>
        <v>14</v>
      </c>
      <c r="P580" s="64">
        <f>+Tabla1[[#This Row],[STOCK  FEBRERO 2021]]-Tabla1[[#This Row],[REQUISICIONES MARZO 2021]]+Tabla1[[#This Row],[ENTRADAS MARZO 2021]]</f>
        <v>13</v>
      </c>
      <c r="Q580" s="31" t="s">
        <v>12</v>
      </c>
      <c r="R580" s="35">
        <v>25</v>
      </c>
      <c r="S580" s="36">
        <v>29.5</v>
      </c>
      <c r="T580" s="100">
        <f>Tabla1[[#This Row],[STOCK MARZO ]]*Tabla1[[#This Row],[COSTO UNITARIO SIN ITBIS]]</f>
        <v>325</v>
      </c>
    </row>
    <row r="581" spans="1:20" s="9" customFormat="1" x14ac:dyDescent="0.25">
      <c r="A581" s="97">
        <v>23</v>
      </c>
      <c r="B581" s="76">
        <v>43088</v>
      </c>
      <c r="C581" s="14" t="s">
        <v>11</v>
      </c>
      <c r="D581" s="76">
        <v>43088</v>
      </c>
      <c r="E581" s="156"/>
      <c r="F581" s="14">
        <v>1120</v>
      </c>
      <c r="G581" s="77" t="s">
        <v>515</v>
      </c>
      <c r="H581" s="74">
        <v>52</v>
      </c>
      <c r="I581" s="74"/>
      <c r="J581" s="74">
        <f>+'INVENTARIO ENERO-MARZO 2021'!$H581-'INVENTARIO ENERO-MARZO 2021'!$I581</f>
        <v>52</v>
      </c>
      <c r="K581" s="74"/>
      <c r="L581" s="74"/>
      <c r="M581" s="74"/>
      <c r="N581" s="74"/>
      <c r="O581" s="74">
        <f>+Tabla1[[#This Row],[STOCK    FISICO ENERO 2021]]-Tabla1[[#This Row],[REQUISICIONES FEBRERO 2021]]</f>
        <v>52</v>
      </c>
      <c r="P581" s="74">
        <f>+Tabla1[[#This Row],[STOCK  FEBRERO 2021]]-Tabla1[[#This Row],[REQUISICIONES MARZO 2021]]+Tabla1[[#This Row],[ENTRADAS MARZO 2021]]</f>
        <v>52</v>
      </c>
      <c r="Q581" s="75" t="s">
        <v>12</v>
      </c>
      <c r="R581" s="78">
        <v>65</v>
      </c>
      <c r="S581" s="36">
        <f t="shared" ref="S581:S586" si="23">R581*0.18+R581</f>
        <v>76.7</v>
      </c>
      <c r="T581" s="100">
        <f>Tabla1[[#This Row],[STOCK MARZO ]]*Tabla1[[#This Row],[COSTO UNITARIO SIN ITBIS]]</f>
        <v>3380</v>
      </c>
    </row>
    <row r="582" spans="1:20" s="9" customFormat="1" x14ac:dyDescent="0.25">
      <c r="A582" s="97">
        <v>24</v>
      </c>
      <c r="B582" s="32">
        <v>43088</v>
      </c>
      <c r="C582" s="29" t="s">
        <v>11</v>
      </c>
      <c r="D582" s="32">
        <v>43088</v>
      </c>
      <c r="E582" s="148"/>
      <c r="F582" s="14">
        <v>1500</v>
      </c>
      <c r="G582" s="77" t="s">
        <v>516</v>
      </c>
      <c r="H582" s="74">
        <v>4</v>
      </c>
      <c r="I582" s="74"/>
      <c r="J582" s="74">
        <f>+'INVENTARIO ENERO-MARZO 2021'!$H582-'INVENTARIO ENERO-MARZO 2021'!$I582</f>
        <v>4</v>
      </c>
      <c r="K582" s="74"/>
      <c r="L582" s="74"/>
      <c r="M582" s="74"/>
      <c r="N582" s="74"/>
      <c r="O582" s="74">
        <f>+Tabla1[[#This Row],[STOCK    FISICO ENERO 2021]]-Tabla1[[#This Row],[REQUISICIONES FEBRERO 2021]]</f>
        <v>4</v>
      </c>
      <c r="P582" s="74">
        <f>+Tabla1[[#This Row],[STOCK  FEBRERO 2021]]-Tabla1[[#This Row],[REQUISICIONES MARZO 2021]]+Tabla1[[#This Row],[ENTRADAS MARZO 2021]]</f>
        <v>4</v>
      </c>
      <c r="Q582" s="75" t="s">
        <v>12</v>
      </c>
      <c r="R582" s="78">
        <v>65</v>
      </c>
      <c r="S582" s="36">
        <f t="shared" si="23"/>
        <v>76.7</v>
      </c>
      <c r="T582" s="100">
        <f>Tabla1[[#This Row],[STOCK MARZO ]]*Tabla1[[#This Row],[COSTO UNITARIO SIN ITBIS]]</f>
        <v>260</v>
      </c>
    </row>
    <row r="583" spans="1:20" s="9" customFormat="1" x14ac:dyDescent="0.25">
      <c r="A583" s="97">
        <v>25</v>
      </c>
      <c r="B583" s="32">
        <v>44025</v>
      </c>
      <c r="C583" s="29" t="s">
        <v>11</v>
      </c>
      <c r="D583" s="32">
        <v>44025</v>
      </c>
      <c r="E583" s="148"/>
      <c r="F583" s="14">
        <v>1121</v>
      </c>
      <c r="G583" s="77" t="s">
        <v>517</v>
      </c>
      <c r="H583" s="74">
        <v>0</v>
      </c>
      <c r="I583" s="74"/>
      <c r="J583" s="74">
        <f>+'INVENTARIO ENERO-MARZO 2021'!$H583-'INVENTARIO ENERO-MARZO 2021'!$I583</f>
        <v>0</v>
      </c>
      <c r="K583" s="74"/>
      <c r="L583" s="74"/>
      <c r="M583" s="74"/>
      <c r="N583" s="74"/>
      <c r="O583" s="74">
        <f>+Tabla1[[#This Row],[STOCK    FISICO ENERO 2021]]-Tabla1[[#This Row],[REQUISICIONES FEBRERO 2021]]</f>
        <v>0</v>
      </c>
      <c r="P583" s="74">
        <f>+Tabla1[[#This Row],[STOCK  FEBRERO 2021]]-Tabla1[[#This Row],[REQUISICIONES MARZO 2021]]+Tabla1[[#This Row],[ENTRADAS MARZO 2021]]</f>
        <v>0</v>
      </c>
      <c r="Q583" s="75" t="s">
        <v>12</v>
      </c>
      <c r="R583" s="78">
        <v>0</v>
      </c>
      <c r="S583" s="36">
        <f t="shared" si="23"/>
        <v>0</v>
      </c>
      <c r="T583" s="100">
        <f>Tabla1[[#This Row],[STOCK MARZO ]]*Tabla1[[#This Row],[COSTO UNITARIO SIN ITBIS]]</f>
        <v>0</v>
      </c>
    </row>
    <row r="584" spans="1:20" s="9" customFormat="1" x14ac:dyDescent="0.25">
      <c r="A584" s="97">
        <v>26</v>
      </c>
      <c r="B584" s="32">
        <v>44168</v>
      </c>
      <c r="C584" s="29" t="s">
        <v>11</v>
      </c>
      <c r="D584" s="32">
        <v>44147</v>
      </c>
      <c r="E584" s="148"/>
      <c r="F584" s="29">
        <v>1498</v>
      </c>
      <c r="G584" s="33" t="s">
        <v>518</v>
      </c>
      <c r="H584" s="64">
        <v>60</v>
      </c>
      <c r="I584" s="64"/>
      <c r="J584" s="64">
        <f>+'INVENTARIO ENERO-MARZO 2021'!$H584-'INVENTARIO ENERO-MARZO 2021'!$I584</f>
        <v>60</v>
      </c>
      <c r="K584" s="64"/>
      <c r="L584" s="64"/>
      <c r="M584" s="64"/>
      <c r="N584" s="64"/>
      <c r="O584" s="64">
        <f>+Tabla1[[#This Row],[STOCK    FISICO ENERO 2021]]-Tabla1[[#This Row],[REQUISICIONES FEBRERO 2021]]</f>
        <v>60</v>
      </c>
      <c r="P584" s="64">
        <f>+Tabla1[[#This Row],[STOCK  FEBRERO 2021]]-Tabla1[[#This Row],[REQUISICIONES MARZO 2021]]+Tabla1[[#This Row],[ENTRADAS MARZO 2021]]</f>
        <v>60</v>
      </c>
      <c r="Q584" s="31" t="s">
        <v>12</v>
      </c>
      <c r="R584" s="35">
        <v>65</v>
      </c>
      <c r="S584" s="36">
        <f t="shared" si="23"/>
        <v>76.7</v>
      </c>
      <c r="T584" s="100">
        <f>Tabla1[[#This Row],[STOCK MARZO ]]*Tabla1[[#This Row],[COSTO UNITARIO SIN ITBIS]]</f>
        <v>3900</v>
      </c>
    </row>
    <row r="585" spans="1:20" s="9" customFormat="1" x14ac:dyDescent="0.25">
      <c r="A585" s="97">
        <v>27</v>
      </c>
      <c r="B585" s="76">
        <v>43088</v>
      </c>
      <c r="C585" s="14" t="s">
        <v>11</v>
      </c>
      <c r="D585" s="76">
        <v>43088</v>
      </c>
      <c r="E585" s="156"/>
      <c r="F585" s="14">
        <v>1499</v>
      </c>
      <c r="G585" s="77" t="s">
        <v>519</v>
      </c>
      <c r="H585" s="74">
        <v>6</v>
      </c>
      <c r="I585" s="74"/>
      <c r="J585" s="74">
        <f>+'INVENTARIO ENERO-MARZO 2021'!$H585-'INVENTARIO ENERO-MARZO 2021'!$I585</f>
        <v>6</v>
      </c>
      <c r="K585" s="74"/>
      <c r="L585" s="74"/>
      <c r="M585" s="74"/>
      <c r="N585" s="74">
        <v>1</v>
      </c>
      <c r="O585" s="74">
        <f>+Tabla1[[#This Row],[STOCK    FISICO ENERO 2021]]-Tabla1[[#This Row],[REQUISICIONES FEBRERO 2021]]</f>
        <v>6</v>
      </c>
      <c r="P585" s="74">
        <f>+Tabla1[[#This Row],[STOCK  FEBRERO 2021]]-Tabla1[[#This Row],[REQUISICIONES MARZO 2021]]+Tabla1[[#This Row],[ENTRADAS MARZO 2021]]</f>
        <v>5</v>
      </c>
      <c r="Q585" s="75" t="s">
        <v>12</v>
      </c>
      <c r="R585" s="78">
        <v>65</v>
      </c>
      <c r="S585" s="36">
        <f t="shared" si="23"/>
        <v>76.7</v>
      </c>
      <c r="T585" s="100">
        <f>Tabla1[[#This Row],[STOCK MARZO ]]*Tabla1[[#This Row],[COSTO UNITARIO SIN ITBIS]]</f>
        <v>325</v>
      </c>
    </row>
    <row r="586" spans="1:20" s="9" customFormat="1" x14ac:dyDescent="0.25">
      <c r="A586" s="97">
        <v>28</v>
      </c>
      <c r="B586" s="76">
        <v>43664</v>
      </c>
      <c r="C586" s="14" t="s">
        <v>11</v>
      </c>
      <c r="D586" s="76">
        <v>43767</v>
      </c>
      <c r="E586" s="156"/>
      <c r="F586" s="29">
        <v>1512</v>
      </c>
      <c r="G586" s="33" t="s">
        <v>520</v>
      </c>
      <c r="H586" s="64">
        <v>4</v>
      </c>
      <c r="I586" s="64">
        <v>4</v>
      </c>
      <c r="J586" s="64">
        <f>+'INVENTARIO ENERO-MARZO 2021'!$H586-'INVENTARIO ENERO-MARZO 2021'!$I586</f>
        <v>0</v>
      </c>
      <c r="K586" s="64"/>
      <c r="L586" s="64"/>
      <c r="M586" s="123"/>
      <c r="N586" s="64"/>
      <c r="O586" s="64">
        <f>+Tabla1[[#This Row],[STOCK    FISICO ENERO 2021]]-Tabla1[[#This Row],[REQUISICIONES FEBRERO 2021]]</f>
        <v>0</v>
      </c>
      <c r="P586" s="64">
        <f>+Tabla1[[#This Row],[STOCK  FEBRERO 2021]]-Tabla1[[#This Row],[REQUISICIONES MARZO 2021]]+Tabla1[[#This Row],[ENTRADAS MARZO 2021]]</f>
        <v>0</v>
      </c>
      <c r="Q586" s="31" t="s">
        <v>112</v>
      </c>
      <c r="R586" s="35">
        <v>20.34</v>
      </c>
      <c r="S586" s="36">
        <f t="shared" si="23"/>
        <v>24.001200000000001</v>
      </c>
      <c r="T586" s="100">
        <f>Tabla1[[#This Row],[STOCK MARZO ]]*Tabla1[[#This Row],[COSTO UNITARIO SIN ITBIS]]</f>
        <v>0</v>
      </c>
    </row>
    <row r="587" spans="1:20" s="9" customFormat="1" x14ac:dyDescent="0.25">
      <c r="A587" s="97">
        <v>29</v>
      </c>
      <c r="B587" s="76">
        <v>43088</v>
      </c>
      <c r="C587" s="14" t="s">
        <v>11</v>
      </c>
      <c r="D587" s="76">
        <v>43088</v>
      </c>
      <c r="E587" s="156"/>
      <c r="F587" s="29"/>
      <c r="G587" s="33" t="s">
        <v>839</v>
      </c>
      <c r="H587" s="64">
        <v>16.75</v>
      </c>
      <c r="I587" s="64"/>
      <c r="J587" s="64">
        <f>+'INVENTARIO ENERO-MARZO 2021'!$H587-'INVENTARIO ENERO-MARZO 2021'!$I587+115.25+0.5</f>
        <v>132.5</v>
      </c>
      <c r="K587" s="64"/>
      <c r="L587" s="64"/>
      <c r="M587" s="64">
        <f>1/2</f>
        <v>0.5</v>
      </c>
      <c r="N587" s="64">
        <f>1+1</f>
        <v>2</v>
      </c>
      <c r="O587" s="64">
        <f>+Tabla1[[#This Row],[STOCK    FISICO ENERO 2021]]-Tabla1[[#This Row],[REQUISICIONES FEBRERO 2021]]</f>
        <v>132</v>
      </c>
      <c r="P587" s="64">
        <f>+Tabla1[[#This Row],[STOCK  FEBRERO 2021]]-Tabla1[[#This Row],[REQUISICIONES MARZO 2021]]+Tabla1[[#This Row],[ENTRADAS MARZO 2021]]</f>
        <v>130</v>
      </c>
      <c r="Q587" s="31" t="s">
        <v>112</v>
      </c>
      <c r="R587" s="35">
        <f>450/(6.6)</f>
        <v>68.181818181818187</v>
      </c>
      <c r="S587" s="36">
        <v>531</v>
      </c>
      <c r="T587" s="100">
        <f>Tabla1[[#This Row],[STOCK MARZO ]]*Tabla1[[#This Row],[COSTO UNITARIO SIN ITBIS]]</f>
        <v>8863.636363636364</v>
      </c>
    </row>
    <row r="588" spans="1:20" s="9" customFormat="1" x14ac:dyDescent="0.25">
      <c r="A588" s="97">
        <v>30</v>
      </c>
      <c r="B588" s="76">
        <v>43664</v>
      </c>
      <c r="C588" s="14" t="s">
        <v>11</v>
      </c>
      <c r="D588" s="76">
        <v>43767</v>
      </c>
      <c r="E588" s="156"/>
      <c r="F588" s="29">
        <v>1511</v>
      </c>
      <c r="G588" s="33" t="s">
        <v>521</v>
      </c>
      <c r="H588" s="64">
        <v>7</v>
      </c>
      <c r="I588" s="64"/>
      <c r="J588" s="64">
        <f>+'INVENTARIO ENERO-MARZO 2021'!$H588-'INVENTARIO ENERO-MARZO 2021'!$I588</f>
        <v>7</v>
      </c>
      <c r="K588" s="64"/>
      <c r="L588" s="64"/>
      <c r="M588" s="64"/>
      <c r="N588" s="64"/>
      <c r="O588" s="64">
        <f>+Tabla1[[#This Row],[STOCK    FISICO ENERO 2021]]-Tabla1[[#This Row],[REQUISICIONES FEBRERO 2021]]</f>
        <v>7</v>
      </c>
      <c r="P588" s="64">
        <f>+Tabla1[[#This Row],[STOCK  FEBRERO 2021]]-Tabla1[[#This Row],[REQUISICIONES MARZO 2021]]+Tabla1[[#This Row],[ENTRADAS MARZO 2021]]</f>
        <v>7</v>
      </c>
      <c r="Q588" s="31" t="s">
        <v>112</v>
      </c>
      <c r="R588" s="35">
        <v>20.34</v>
      </c>
      <c r="S588" s="36">
        <f>R588*0.18+R588</f>
        <v>24.001200000000001</v>
      </c>
      <c r="T588" s="100">
        <f>Tabla1[[#This Row],[STOCK MARZO ]]*Tabla1[[#This Row],[COSTO UNITARIO SIN ITBIS]]</f>
        <v>142.38</v>
      </c>
    </row>
    <row r="589" spans="1:20" s="9" customFormat="1" x14ac:dyDescent="0.25">
      <c r="A589" s="97">
        <v>31</v>
      </c>
      <c r="B589" s="32">
        <v>44026</v>
      </c>
      <c r="C589" s="29" t="s">
        <v>11</v>
      </c>
      <c r="D589" s="32">
        <v>44026</v>
      </c>
      <c r="E589" s="148"/>
      <c r="F589" s="29"/>
      <c r="G589" s="33" t="s">
        <v>837</v>
      </c>
      <c r="H589" s="64">
        <v>20</v>
      </c>
      <c r="I589" s="64"/>
      <c r="J589" s="64">
        <f>+'INVENTARIO ENERO-MARZO 2021'!$H589-'INVENTARIO ENERO-MARZO 2021'!$I589+112</f>
        <v>132</v>
      </c>
      <c r="K589" s="64"/>
      <c r="L589" s="64"/>
      <c r="M589" s="64"/>
      <c r="N589" s="64"/>
      <c r="O589" s="64">
        <f>+Tabla1[[#This Row],[STOCK    FISICO ENERO 2021]]-Tabla1[[#This Row],[REQUISICIONES FEBRERO 2021]]</f>
        <v>132</v>
      </c>
      <c r="P589" s="64">
        <f>+Tabla1[[#This Row],[STOCK  FEBRERO 2021]]-Tabla1[[#This Row],[REQUISICIONES MARZO 2021]]+Tabla1[[#This Row],[ENTRADAS MARZO 2021]]</f>
        <v>132</v>
      </c>
      <c r="Q589" s="31" t="s">
        <v>112</v>
      </c>
      <c r="R589" s="35">
        <f>450/(6.6)</f>
        <v>68.181818181818187</v>
      </c>
      <c r="S589" s="36">
        <v>531</v>
      </c>
      <c r="T589" s="100">
        <f>Tabla1[[#This Row],[STOCK MARZO ]]*Tabla1[[#This Row],[COSTO UNITARIO SIN ITBIS]]</f>
        <v>9000</v>
      </c>
    </row>
    <row r="590" spans="1:20" s="9" customFormat="1" x14ac:dyDescent="0.25">
      <c r="A590" s="97">
        <v>32</v>
      </c>
      <c r="B590" s="76">
        <v>44109</v>
      </c>
      <c r="C590" s="14" t="s">
        <v>11</v>
      </c>
      <c r="D590" s="76">
        <v>44109</v>
      </c>
      <c r="E590" s="156"/>
      <c r="F590" s="29"/>
      <c r="G590" s="33" t="s">
        <v>838</v>
      </c>
      <c r="H590" s="64">
        <v>30</v>
      </c>
      <c r="I590" s="64"/>
      <c r="J590" s="64">
        <f>+'INVENTARIO ENERO-MARZO 2021'!$H590-'INVENTARIO ENERO-MARZO 2021'!$I590+168</f>
        <v>198</v>
      </c>
      <c r="K590" s="64"/>
      <c r="L590" s="64"/>
      <c r="M590" s="64"/>
      <c r="N590" s="64"/>
      <c r="O590" s="64">
        <f>+Tabla1[[#This Row],[STOCK    FISICO ENERO 2021]]-Tabla1[[#This Row],[REQUISICIONES FEBRERO 2021]]</f>
        <v>198</v>
      </c>
      <c r="P590" s="64">
        <f>+Tabla1[[#This Row],[STOCK  FEBRERO 2021]]-Tabla1[[#This Row],[REQUISICIONES MARZO 2021]]+Tabla1[[#This Row],[ENTRADAS MARZO 2021]]</f>
        <v>198</v>
      </c>
      <c r="Q590" s="31" t="s">
        <v>112</v>
      </c>
      <c r="R590" s="35">
        <f>450/(6.6)</f>
        <v>68.181818181818187</v>
      </c>
      <c r="S590" s="36">
        <f t="shared" ref="S590:S607" si="24">R590*0.18+R590</f>
        <v>80.454545454545467</v>
      </c>
      <c r="T590" s="100">
        <f>Tabla1[[#This Row],[STOCK MARZO ]]*Tabla1[[#This Row],[COSTO UNITARIO SIN ITBIS]]</f>
        <v>13500.000000000002</v>
      </c>
    </row>
    <row r="591" spans="1:20" s="9" customFormat="1" x14ac:dyDescent="0.25">
      <c r="A591" s="97">
        <v>33</v>
      </c>
      <c r="B591" s="32">
        <v>44026</v>
      </c>
      <c r="C591" s="29" t="s">
        <v>11</v>
      </c>
      <c r="D591" s="32">
        <v>44026</v>
      </c>
      <c r="E591" s="148"/>
      <c r="F591" s="29">
        <v>1593</v>
      </c>
      <c r="G591" s="33" t="s">
        <v>522</v>
      </c>
      <c r="H591" s="64">
        <v>1</v>
      </c>
      <c r="I591" s="64"/>
      <c r="J591" s="64">
        <f>+'INVENTARIO ENERO-MARZO 2021'!$H591-'INVENTARIO ENERO-MARZO 2021'!$I591</f>
        <v>1</v>
      </c>
      <c r="K591" s="64"/>
      <c r="L591" s="64"/>
      <c r="M591" s="64"/>
      <c r="N591" s="64"/>
      <c r="O591" s="64">
        <f>+Tabla1[[#This Row],[STOCK    FISICO ENERO 2021]]-Tabla1[[#This Row],[REQUISICIONES FEBRERO 2021]]</f>
        <v>1</v>
      </c>
      <c r="P591" s="64">
        <f>+Tabla1[[#This Row],[STOCK  FEBRERO 2021]]-Tabla1[[#This Row],[REQUISICIONES MARZO 2021]]+Tabla1[[#This Row],[ENTRADAS MARZO 2021]]</f>
        <v>1</v>
      </c>
      <c r="Q591" s="31" t="s">
        <v>112</v>
      </c>
      <c r="R591" s="35">
        <v>91.53</v>
      </c>
      <c r="S591" s="36">
        <f t="shared" si="24"/>
        <v>108.00540000000001</v>
      </c>
      <c r="T591" s="100">
        <f>Tabla1[[#This Row],[STOCK MARZO ]]*Tabla1[[#This Row],[COSTO UNITARIO SIN ITBIS]]</f>
        <v>91.53</v>
      </c>
    </row>
    <row r="592" spans="1:20" s="9" customFormat="1" x14ac:dyDescent="0.25">
      <c r="A592" s="97">
        <v>34</v>
      </c>
      <c r="B592" s="32">
        <v>44026</v>
      </c>
      <c r="C592" s="29" t="s">
        <v>11</v>
      </c>
      <c r="D592" s="32">
        <v>44026</v>
      </c>
      <c r="E592" s="148"/>
      <c r="F592" s="14">
        <v>1169</v>
      </c>
      <c r="G592" s="77" t="s">
        <v>523</v>
      </c>
      <c r="H592" s="74">
        <v>13</v>
      </c>
      <c r="I592" s="74"/>
      <c r="J592" s="74">
        <f>+'INVENTARIO ENERO-MARZO 2021'!$H592-'INVENTARIO ENERO-MARZO 2021'!$I592</f>
        <v>13</v>
      </c>
      <c r="K592" s="74"/>
      <c r="L592" s="74"/>
      <c r="M592" s="74"/>
      <c r="N592" s="74">
        <v>2</v>
      </c>
      <c r="O592" s="74">
        <f>+Tabla1[[#This Row],[STOCK    FISICO ENERO 2021]]-Tabla1[[#This Row],[REQUISICIONES FEBRERO 2021]]</f>
        <v>13</v>
      </c>
      <c r="P592" s="74">
        <f>+Tabla1[[#This Row],[STOCK  FEBRERO 2021]]-Tabla1[[#This Row],[REQUISICIONES MARZO 2021]]+Tabla1[[#This Row],[ENTRADAS MARZO 2021]]</f>
        <v>11</v>
      </c>
      <c r="Q592" s="75" t="s">
        <v>12</v>
      </c>
      <c r="R592" s="78">
        <v>650</v>
      </c>
      <c r="S592" s="36">
        <f t="shared" si="24"/>
        <v>767</v>
      </c>
      <c r="T592" s="100">
        <f>Tabla1[[#This Row],[STOCK MARZO ]]*Tabla1[[#This Row],[COSTO UNITARIO SIN ITBIS]]</f>
        <v>7150</v>
      </c>
    </row>
    <row r="593" spans="1:20" s="9" customFormat="1" x14ac:dyDescent="0.25">
      <c r="A593" s="97">
        <v>35</v>
      </c>
      <c r="B593" s="76">
        <v>42991</v>
      </c>
      <c r="C593" s="14" t="s">
        <v>11</v>
      </c>
      <c r="D593" s="76">
        <v>42991</v>
      </c>
      <c r="E593" s="156"/>
      <c r="F593" s="29" t="s">
        <v>23</v>
      </c>
      <c r="G593" s="33" t="s">
        <v>524</v>
      </c>
      <c r="H593" s="64">
        <v>4</v>
      </c>
      <c r="I593" s="64">
        <v>3</v>
      </c>
      <c r="J593" s="64">
        <f>+'INVENTARIO ENERO-MARZO 2021'!$H593-'INVENTARIO ENERO-MARZO 2021'!$I593+3</f>
        <v>4</v>
      </c>
      <c r="K593" s="64"/>
      <c r="L593" s="64"/>
      <c r="M593" s="64">
        <v>1</v>
      </c>
      <c r="N593" s="64">
        <v>2</v>
      </c>
      <c r="O593" s="64">
        <f>+Tabla1[[#This Row],[STOCK    FISICO ENERO 2021]]-Tabla1[[#This Row],[REQUISICIONES FEBRERO 2021]]</f>
        <v>3</v>
      </c>
      <c r="P593" s="64">
        <f>+Tabla1[[#This Row],[STOCK  FEBRERO 2021]]-Tabla1[[#This Row],[REQUISICIONES MARZO 2021]]+Tabla1[[#This Row],[ENTRADAS MARZO 2021]]</f>
        <v>1</v>
      </c>
      <c r="Q593" s="31" t="s">
        <v>777</v>
      </c>
      <c r="R593" s="35">
        <v>0</v>
      </c>
      <c r="S593" s="36">
        <f t="shared" si="24"/>
        <v>0</v>
      </c>
      <c r="T593" s="100">
        <f>Tabla1[[#This Row],[STOCK MARZO ]]*Tabla1[[#This Row],[COSTO UNITARIO SIN ITBIS]]</f>
        <v>0</v>
      </c>
    </row>
    <row r="594" spans="1:20" s="9" customFormat="1" x14ac:dyDescent="0.25">
      <c r="A594" s="97">
        <v>36</v>
      </c>
      <c r="B594" s="32">
        <v>44109</v>
      </c>
      <c r="C594" s="29" t="s">
        <v>11</v>
      </c>
      <c r="D594" s="32">
        <v>44109</v>
      </c>
      <c r="E594" s="148"/>
      <c r="F594" s="14">
        <v>1590</v>
      </c>
      <c r="G594" s="77" t="s">
        <v>525</v>
      </c>
      <c r="H594" s="74">
        <v>9</v>
      </c>
      <c r="I594" s="74">
        <v>1</v>
      </c>
      <c r="J594" s="74">
        <f>+'INVENTARIO ENERO-MARZO 2021'!$H594-'INVENTARIO ENERO-MARZO 2021'!$I594</f>
        <v>8</v>
      </c>
      <c r="K594" s="74"/>
      <c r="L594" s="74"/>
      <c r="M594" s="74">
        <f>1+1</f>
        <v>2</v>
      </c>
      <c r="N594" s="74"/>
      <c r="O594" s="74">
        <f>+Tabla1[[#This Row],[STOCK    FISICO ENERO 2021]]-Tabla1[[#This Row],[REQUISICIONES FEBRERO 2021]]</f>
        <v>6</v>
      </c>
      <c r="P594" s="74">
        <f>+Tabla1[[#This Row],[STOCK  FEBRERO 2021]]-Tabla1[[#This Row],[REQUISICIONES MARZO 2021]]+Tabla1[[#This Row],[ENTRADAS MARZO 2021]]</f>
        <v>6</v>
      </c>
      <c r="Q594" s="75" t="s">
        <v>112</v>
      </c>
      <c r="R594" s="78">
        <v>40.68</v>
      </c>
      <c r="S594" s="36">
        <f t="shared" si="24"/>
        <v>48.002400000000002</v>
      </c>
      <c r="T594" s="100">
        <f>Tabla1[[#This Row],[STOCK MARZO ]]*Tabla1[[#This Row],[COSTO UNITARIO SIN ITBIS]]</f>
        <v>244.07999999999998</v>
      </c>
    </row>
    <row r="595" spans="1:20" s="9" customFormat="1" x14ac:dyDescent="0.25">
      <c r="A595" s="97">
        <v>37</v>
      </c>
      <c r="B595" s="32">
        <v>44026</v>
      </c>
      <c r="C595" s="29" t="s">
        <v>11</v>
      </c>
      <c r="D595" s="32">
        <v>44026</v>
      </c>
      <c r="E595" s="148"/>
      <c r="F595" s="29">
        <v>1141</v>
      </c>
      <c r="G595" s="33" t="s">
        <v>526</v>
      </c>
      <c r="H595" s="64">
        <v>12</v>
      </c>
      <c r="I595" s="64"/>
      <c r="J595" s="64">
        <f>+'INVENTARIO ENERO-MARZO 2021'!$H595-'INVENTARIO ENERO-MARZO 2021'!$I595</f>
        <v>12</v>
      </c>
      <c r="K595" s="64"/>
      <c r="L595" s="64"/>
      <c r="M595" s="64"/>
      <c r="N595" s="64">
        <v>1</v>
      </c>
      <c r="O595" s="64">
        <f>+Tabla1[[#This Row],[STOCK    FISICO ENERO 2021]]-Tabla1[[#This Row],[REQUISICIONES FEBRERO 2021]]</f>
        <v>12</v>
      </c>
      <c r="P595" s="64">
        <f>+Tabla1[[#This Row],[STOCK  FEBRERO 2021]]-Tabla1[[#This Row],[REQUISICIONES MARZO 2021]]+Tabla1[[#This Row],[ENTRADAS MARZO 2021]]</f>
        <v>11</v>
      </c>
      <c r="Q595" s="31" t="s">
        <v>12</v>
      </c>
      <c r="R595" s="35">
        <v>450</v>
      </c>
      <c r="S595" s="36">
        <f t="shared" si="24"/>
        <v>531</v>
      </c>
      <c r="T595" s="100">
        <f>Tabla1[[#This Row],[STOCK MARZO ]]*Tabla1[[#This Row],[COSTO UNITARIO SIN ITBIS]]</f>
        <v>4950</v>
      </c>
    </row>
    <row r="596" spans="1:20" s="9" customFormat="1" x14ac:dyDescent="0.25">
      <c r="A596" s="97">
        <v>38</v>
      </c>
      <c r="B596" s="32">
        <v>42991</v>
      </c>
      <c r="C596" s="29" t="s">
        <v>11</v>
      </c>
      <c r="D596" s="32">
        <v>42991</v>
      </c>
      <c r="E596" s="148"/>
      <c r="F596" s="29">
        <v>1143</v>
      </c>
      <c r="G596" s="33" t="s">
        <v>527</v>
      </c>
      <c r="H596" s="64">
        <v>8</v>
      </c>
      <c r="I596" s="64"/>
      <c r="J596" s="64">
        <f>+'INVENTARIO ENERO-MARZO 2021'!$H596-'INVENTARIO ENERO-MARZO 2021'!$I596</f>
        <v>8</v>
      </c>
      <c r="K596" s="64"/>
      <c r="L596" s="64"/>
      <c r="M596" s="64"/>
      <c r="N596" s="64"/>
      <c r="O596" s="64">
        <f>+Tabla1[[#This Row],[STOCK    FISICO ENERO 2021]]-Tabla1[[#This Row],[REQUISICIONES FEBRERO 2021]]</f>
        <v>8</v>
      </c>
      <c r="P596" s="64">
        <f>+Tabla1[[#This Row],[STOCK  FEBRERO 2021]]-Tabla1[[#This Row],[REQUISICIONES MARZO 2021]]+Tabla1[[#This Row],[ENTRADAS MARZO 2021]]</f>
        <v>8</v>
      </c>
      <c r="Q596" s="31" t="s">
        <v>12</v>
      </c>
      <c r="R596" s="35">
        <v>450</v>
      </c>
      <c r="S596" s="36">
        <f t="shared" si="24"/>
        <v>531</v>
      </c>
      <c r="T596" s="100">
        <f>Tabla1[[#This Row],[STOCK MARZO ]]*Tabla1[[#This Row],[COSTO UNITARIO SIN ITBIS]]</f>
        <v>3600</v>
      </c>
    </row>
    <row r="597" spans="1:20" s="9" customFormat="1" x14ac:dyDescent="0.25">
      <c r="A597" s="97">
        <v>39</v>
      </c>
      <c r="B597" s="32">
        <v>42991</v>
      </c>
      <c r="C597" s="29" t="s">
        <v>11</v>
      </c>
      <c r="D597" s="32">
        <v>42991</v>
      </c>
      <c r="E597" s="148"/>
      <c r="F597" s="14">
        <v>1142</v>
      </c>
      <c r="G597" s="77" t="s">
        <v>528</v>
      </c>
      <c r="H597" s="74">
        <v>12</v>
      </c>
      <c r="I597" s="74"/>
      <c r="J597" s="74">
        <f>+'INVENTARIO ENERO-MARZO 2021'!$H597-'INVENTARIO ENERO-MARZO 2021'!$I597</f>
        <v>12</v>
      </c>
      <c r="K597" s="74"/>
      <c r="L597" s="74"/>
      <c r="M597" s="74"/>
      <c r="N597" s="74">
        <v>1</v>
      </c>
      <c r="O597" s="74">
        <f>+Tabla1[[#This Row],[STOCK    FISICO ENERO 2021]]-Tabla1[[#This Row],[REQUISICIONES FEBRERO 2021]]</f>
        <v>12</v>
      </c>
      <c r="P597" s="74">
        <f>+Tabla1[[#This Row],[STOCK  FEBRERO 2021]]-Tabla1[[#This Row],[REQUISICIONES MARZO 2021]]+Tabla1[[#This Row],[ENTRADAS MARZO 2021]]</f>
        <v>11</v>
      </c>
      <c r="Q597" s="75" t="s">
        <v>12</v>
      </c>
      <c r="R597" s="78">
        <v>450</v>
      </c>
      <c r="S597" s="36">
        <f t="shared" si="24"/>
        <v>531</v>
      </c>
      <c r="T597" s="100">
        <f>Tabla1[[#This Row],[STOCK MARZO ]]*Tabla1[[#This Row],[COSTO UNITARIO SIN ITBIS]]</f>
        <v>4950</v>
      </c>
    </row>
    <row r="598" spans="1:20" s="9" customFormat="1" x14ac:dyDescent="0.25">
      <c r="A598" s="97">
        <v>40</v>
      </c>
      <c r="B598" s="76">
        <v>42991</v>
      </c>
      <c r="C598" s="14" t="s">
        <v>11</v>
      </c>
      <c r="D598" s="76">
        <v>42991</v>
      </c>
      <c r="E598" s="156"/>
      <c r="F598" s="14">
        <v>1312</v>
      </c>
      <c r="G598" s="77" t="s">
        <v>529</v>
      </c>
      <c r="H598" s="74">
        <v>0</v>
      </c>
      <c r="I598" s="74"/>
      <c r="J598" s="74">
        <f>+'INVENTARIO ENERO-MARZO 2021'!$H598-'INVENTARIO ENERO-MARZO 2021'!$I598</f>
        <v>0</v>
      </c>
      <c r="K598" s="74"/>
      <c r="L598" s="74"/>
      <c r="M598" s="74"/>
      <c r="N598" s="74"/>
      <c r="O598" s="74">
        <f>+Tabla1[[#This Row],[STOCK    FISICO ENERO 2021]]-Tabla1[[#This Row],[REQUISICIONES FEBRERO 2021]]</f>
        <v>0</v>
      </c>
      <c r="P598" s="74">
        <f>+Tabla1[[#This Row],[STOCK  FEBRERO 2021]]-Tabla1[[#This Row],[REQUISICIONES MARZO 2021]]+Tabla1[[#This Row],[ENTRADAS MARZO 2021]]</f>
        <v>0</v>
      </c>
      <c r="Q598" s="31" t="s">
        <v>182</v>
      </c>
      <c r="R598" s="78">
        <v>1065</v>
      </c>
      <c r="S598" s="36">
        <f t="shared" si="24"/>
        <v>1256.7</v>
      </c>
      <c r="T598" s="100">
        <f>Tabla1[[#This Row],[STOCK MARZO ]]*Tabla1[[#This Row],[COSTO UNITARIO SIN ITBIS]]</f>
        <v>0</v>
      </c>
    </row>
    <row r="599" spans="1:20" s="9" customFormat="1" x14ac:dyDescent="0.25">
      <c r="A599" s="97">
        <v>41</v>
      </c>
      <c r="B599" s="76">
        <v>44168</v>
      </c>
      <c r="C599" s="14" t="s">
        <v>11</v>
      </c>
      <c r="D599" s="76">
        <v>44154</v>
      </c>
      <c r="E599" s="156"/>
      <c r="F599" s="14">
        <v>1156</v>
      </c>
      <c r="G599" s="77" t="s">
        <v>530</v>
      </c>
      <c r="H599" s="74">
        <v>35</v>
      </c>
      <c r="I599" s="74">
        <v>4</v>
      </c>
      <c r="J599" s="74">
        <f>+'INVENTARIO ENERO-MARZO 2021'!$H599-'INVENTARIO ENERO-MARZO 2021'!$I599</f>
        <v>31</v>
      </c>
      <c r="K599" s="74"/>
      <c r="L599" s="74"/>
      <c r="M599" s="74">
        <f>1+1+2+4</f>
        <v>8</v>
      </c>
      <c r="N599" s="74">
        <f>4+1+1+1+3+1+1+2</f>
        <v>14</v>
      </c>
      <c r="O599" s="74">
        <f>+Tabla1[[#This Row],[STOCK    FISICO ENERO 2021]]-Tabla1[[#This Row],[REQUISICIONES FEBRERO 2021]]</f>
        <v>23</v>
      </c>
      <c r="P599" s="74">
        <f>+Tabla1[[#This Row],[STOCK  FEBRERO 2021]]-Tabla1[[#This Row],[REQUISICIONES MARZO 2021]]+Tabla1[[#This Row],[ENTRADAS MARZO 2021]]</f>
        <v>9</v>
      </c>
      <c r="Q599" s="31" t="s">
        <v>182</v>
      </c>
      <c r="R599" s="78">
        <v>1065</v>
      </c>
      <c r="S599" s="36">
        <f t="shared" si="24"/>
        <v>1256.7</v>
      </c>
      <c r="T599" s="100">
        <f>Tabla1[[#This Row],[STOCK MARZO ]]*Tabla1[[#This Row],[COSTO UNITARIO SIN ITBIS]]</f>
        <v>9585</v>
      </c>
    </row>
    <row r="600" spans="1:20" s="9" customFormat="1" x14ac:dyDescent="0.25">
      <c r="A600" s="97">
        <v>42</v>
      </c>
      <c r="B600" s="32">
        <v>44168</v>
      </c>
      <c r="C600" s="29" t="s">
        <v>11</v>
      </c>
      <c r="D600" s="32">
        <v>44148</v>
      </c>
      <c r="E600" s="148"/>
      <c r="F600" s="29">
        <v>1155</v>
      </c>
      <c r="G600" s="33" t="s">
        <v>531</v>
      </c>
      <c r="H600" s="64">
        <v>5</v>
      </c>
      <c r="I600" s="64"/>
      <c r="J600" s="64">
        <f>+'INVENTARIO ENERO-MARZO 2021'!$H600-'INVENTARIO ENERO-MARZO 2021'!$I600</f>
        <v>5</v>
      </c>
      <c r="K600" s="64"/>
      <c r="L600" s="64"/>
      <c r="M600" s="64"/>
      <c r="N600" s="64"/>
      <c r="O600" s="64">
        <f>+Tabla1[[#This Row],[STOCK    FISICO ENERO 2021]]-Tabla1[[#This Row],[REQUISICIONES FEBRERO 2021]]</f>
        <v>5</v>
      </c>
      <c r="P600" s="64">
        <f>+Tabla1[[#This Row],[STOCK  FEBRERO 2021]]-Tabla1[[#This Row],[REQUISICIONES MARZO 2021]]+Tabla1[[#This Row],[ENTRADAS MARZO 2021]]</f>
        <v>5</v>
      </c>
      <c r="Q600" s="31" t="s">
        <v>182</v>
      </c>
      <c r="R600" s="35">
        <v>0</v>
      </c>
      <c r="S600" s="36">
        <f t="shared" si="24"/>
        <v>0</v>
      </c>
      <c r="T600" s="100">
        <f>Tabla1[[#This Row],[STOCK MARZO ]]*Tabla1[[#This Row],[COSTO UNITARIO SIN ITBIS]]</f>
        <v>0</v>
      </c>
    </row>
    <row r="601" spans="1:20" s="9" customFormat="1" x14ac:dyDescent="0.25">
      <c r="A601" s="97">
        <v>43</v>
      </c>
      <c r="B601" s="76">
        <v>44168</v>
      </c>
      <c r="C601" s="14" t="s">
        <v>11</v>
      </c>
      <c r="D601" s="76">
        <v>44154</v>
      </c>
      <c r="E601" s="156"/>
      <c r="F601" s="29"/>
      <c r="G601" s="33" t="s">
        <v>532</v>
      </c>
      <c r="H601" s="64">
        <v>6</v>
      </c>
      <c r="I601" s="64"/>
      <c r="J601" s="64">
        <f>+'INVENTARIO ENERO-MARZO 2021'!$H601-'INVENTARIO ENERO-MARZO 2021'!$I601</f>
        <v>6</v>
      </c>
      <c r="K601" s="64"/>
      <c r="L601" s="64"/>
      <c r="M601" s="64"/>
      <c r="N601" s="64"/>
      <c r="O601" s="64">
        <f>+Tabla1[[#This Row],[STOCK    FISICO ENERO 2021]]-Tabla1[[#This Row],[REQUISICIONES FEBRERO 2021]]</f>
        <v>6</v>
      </c>
      <c r="P601" s="64">
        <f>+Tabla1[[#This Row],[STOCK  FEBRERO 2021]]-Tabla1[[#This Row],[REQUISICIONES MARZO 2021]]+Tabla1[[#This Row],[ENTRADAS MARZO 2021]]</f>
        <v>6</v>
      </c>
      <c r="Q601" s="31" t="s">
        <v>182</v>
      </c>
      <c r="R601" s="35">
        <v>1550</v>
      </c>
      <c r="S601" s="36">
        <f t="shared" si="24"/>
        <v>1829</v>
      </c>
      <c r="T601" s="100">
        <f>Tabla1[[#This Row],[STOCK MARZO ]]*Tabla1[[#This Row],[COSTO UNITARIO SIN ITBIS]]</f>
        <v>9300</v>
      </c>
    </row>
    <row r="602" spans="1:20" s="9" customFormat="1" x14ac:dyDescent="0.25">
      <c r="A602" s="97">
        <v>44</v>
      </c>
      <c r="B602" s="76">
        <v>44168</v>
      </c>
      <c r="C602" s="29" t="s">
        <v>11</v>
      </c>
      <c r="D602" s="32">
        <v>44152</v>
      </c>
      <c r="E602" s="148"/>
      <c r="F602" s="29">
        <v>1310</v>
      </c>
      <c r="G602" s="33" t="s">
        <v>533</v>
      </c>
      <c r="H602" s="64">
        <v>4</v>
      </c>
      <c r="I602" s="64"/>
      <c r="J602" s="64">
        <f>+'INVENTARIO ENERO-MARZO 2021'!$H602-'INVENTARIO ENERO-MARZO 2021'!$I602</f>
        <v>4</v>
      </c>
      <c r="K602" s="64"/>
      <c r="L602" s="64"/>
      <c r="M602" s="64"/>
      <c r="N602" s="64"/>
      <c r="O602" s="64">
        <f>+Tabla1[[#This Row],[STOCK    FISICO ENERO 2021]]-Tabla1[[#This Row],[REQUISICIONES FEBRERO 2021]]</f>
        <v>4</v>
      </c>
      <c r="P602" s="64">
        <f>+Tabla1[[#This Row],[STOCK  FEBRERO 2021]]-Tabla1[[#This Row],[REQUISICIONES MARZO 2021]]+Tabla1[[#This Row],[ENTRADAS MARZO 2021]]</f>
        <v>4</v>
      </c>
      <c r="Q602" s="31" t="s">
        <v>182</v>
      </c>
      <c r="R602" s="35">
        <v>1800</v>
      </c>
      <c r="S602" s="36">
        <f t="shared" si="24"/>
        <v>2124</v>
      </c>
      <c r="T602" s="100">
        <f>Tabla1[[#This Row],[STOCK MARZO ]]*Tabla1[[#This Row],[COSTO UNITARIO SIN ITBIS]]</f>
        <v>7200</v>
      </c>
    </row>
    <row r="603" spans="1:20" s="9" customFormat="1" x14ac:dyDescent="0.25">
      <c r="A603" s="97">
        <v>45</v>
      </c>
      <c r="B603" s="76">
        <v>44168</v>
      </c>
      <c r="C603" s="14" t="s">
        <v>11</v>
      </c>
      <c r="D603" s="32">
        <v>44152</v>
      </c>
      <c r="E603" s="148"/>
      <c r="F603" s="14">
        <v>1311</v>
      </c>
      <c r="G603" s="33" t="s">
        <v>534</v>
      </c>
      <c r="H603" s="74">
        <v>0</v>
      </c>
      <c r="I603" s="74"/>
      <c r="J603" s="74">
        <f>+'INVENTARIO ENERO-MARZO 2021'!$H603-'INVENTARIO ENERO-MARZO 2021'!$I603</f>
        <v>0</v>
      </c>
      <c r="K603" s="74"/>
      <c r="L603" s="74"/>
      <c r="M603" s="74"/>
      <c r="N603" s="74"/>
      <c r="O603" s="74">
        <f>+Tabla1[[#This Row],[STOCK    FISICO ENERO 2021]]-Tabla1[[#This Row],[REQUISICIONES FEBRERO 2021]]</f>
        <v>0</v>
      </c>
      <c r="P603" s="74">
        <f>+Tabla1[[#This Row],[STOCK  FEBRERO 2021]]-Tabla1[[#This Row],[REQUISICIONES MARZO 2021]]+Tabla1[[#This Row],[ENTRADAS MARZO 2021]]</f>
        <v>0</v>
      </c>
      <c r="Q603" s="31" t="s">
        <v>182</v>
      </c>
      <c r="R603" s="78">
        <v>1800</v>
      </c>
      <c r="S603" s="36">
        <f t="shared" si="24"/>
        <v>2124</v>
      </c>
      <c r="T603" s="100">
        <f>Tabla1[[#This Row],[STOCK MARZO ]]*Tabla1[[#This Row],[COSTO UNITARIO SIN ITBIS]]</f>
        <v>0</v>
      </c>
    </row>
    <row r="604" spans="1:20" s="9" customFormat="1" x14ac:dyDescent="0.25">
      <c r="A604" s="97">
        <v>46</v>
      </c>
      <c r="B604" s="32">
        <v>44028</v>
      </c>
      <c r="C604" s="29" t="s">
        <v>11</v>
      </c>
      <c r="D604" s="32">
        <v>44028</v>
      </c>
      <c r="E604" s="148"/>
      <c r="F604" s="29">
        <v>1805</v>
      </c>
      <c r="G604" s="33" t="s">
        <v>535</v>
      </c>
      <c r="H604" s="64">
        <v>3</v>
      </c>
      <c r="I604" s="64"/>
      <c r="J604" s="64">
        <f>+'INVENTARIO ENERO-MARZO 2021'!$H604-'INVENTARIO ENERO-MARZO 2021'!$I604</f>
        <v>3</v>
      </c>
      <c r="K604" s="64"/>
      <c r="L604" s="64"/>
      <c r="M604" s="64"/>
      <c r="N604" s="64"/>
      <c r="O604" s="64">
        <f>+Tabla1[[#This Row],[STOCK    FISICO ENERO 2021]]-Tabla1[[#This Row],[REQUISICIONES FEBRERO 2021]]</f>
        <v>3</v>
      </c>
      <c r="P604" s="64">
        <f>+Tabla1[[#This Row],[STOCK  FEBRERO 2021]]-Tabla1[[#This Row],[REQUISICIONES MARZO 2021]]+Tabla1[[#This Row],[ENTRADAS MARZO 2021]]</f>
        <v>3</v>
      </c>
      <c r="Q604" s="31" t="s">
        <v>112</v>
      </c>
      <c r="R604" s="35">
        <v>114</v>
      </c>
      <c r="S604" s="36">
        <f t="shared" si="24"/>
        <v>134.52000000000001</v>
      </c>
      <c r="T604" s="100">
        <f>Tabla1[[#This Row],[STOCK MARZO ]]*Tabla1[[#This Row],[COSTO UNITARIO SIN ITBIS]]</f>
        <v>342</v>
      </c>
    </row>
    <row r="605" spans="1:20" s="9" customFormat="1" x14ac:dyDescent="0.25">
      <c r="A605" s="97">
        <v>47</v>
      </c>
      <c r="B605" s="32">
        <v>42991</v>
      </c>
      <c r="C605" s="29" t="s">
        <v>11</v>
      </c>
      <c r="D605" s="32">
        <v>42991</v>
      </c>
      <c r="E605" s="148"/>
      <c r="F605" s="29">
        <v>1157</v>
      </c>
      <c r="G605" s="33" t="s">
        <v>536</v>
      </c>
      <c r="H605" s="64">
        <v>16</v>
      </c>
      <c r="I605" s="64"/>
      <c r="J605" s="64">
        <f>+'INVENTARIO ENERO-MARZO 2021'!$H605-'INVENTARIO ENERO-MARZO 2021'!$I605</f>
        <v>16</v>
      </c>
      <c r="K605" s="64"/>
      <c r="L605" s="64"/>
      <c r="M605" s="64"/>
      <c r="N605" s="64">
        <v>1</v>
      </c>
      <c r="O605" s="64">
        <f>+Tabla1[[#This Row],[STOCK    FISICO ENERO 2021]]-Tabla1[[#This Row],[REQUISICIONES FEBRERO 2021]]</f>
        <v>16</v>
      </c>
      <c r="P605" s="64">
        <f>+Tabla1[[#This Row],[STOCK  FEBRERO 2021]]-Tabla1[[#This Row],[REQUISICIONES MARZO 2021]]+Tabla1[[#This Row],[ENTRADAS MARZO 2021]]</f>
        <v>15</v>
      </c>
      <c r="Q605" s="31" t="s">
        <v>12</v>
      </c>
      <c r="R605" s="35">
        <v>181.72</v>
      </c>
      <c r="S605" s="36">
        <f t="shared" si="24"/>
        <v>214.42959999999999</v>
      </c>
      <c r="T605" s="100">
        <f>Tabla1[[#This Row],[STOCK MARZO ]]*Tabla1[[#This Row],[COSTO UNITARIO SIN ITBIS]]</f>
        <v>2725.8</v>
      </c>
    </row>
    <row r="606" spans="1:20" s="9" customFormat="1" x14ac:dyDescent="0.25">
      <c r="A606" s="97">
        <v>48</v>
      </c>
      <c r="B606" s="32">
        <v>42991</v>
      </c>
      <c r="C606" s="29" t="s">
        <v>11</v>
      </c>
      <c r="D606" s="32">
        <v>42991</v>
      </c>
      <c r="E606" s="148"/>
      <c r="F606" s="29">
        <v>1168</v>
      </c>
      <c r="G606" s="33" t="s">
        <v>537</v>
      </c>
      <c r="H606" s="64">
        <v>195</v>
      </c>
      <c r="I606" s="64"/>
      <c r="J606" s="64">
        <f>+'INVENTARIO ENERO-MARZO 2021'!$H606-'INVENTARIO ENERO-MARZO 2021'!$I606</f>
        <v>195</v>
      </c>
      <c r="K606" s="64"/>
      <c r="L606" s="64"/>
      <c r="M606" s="64">
        <v>4</v>
      </c>
      <c r="N606" s="64"/>
      <c r="O606" s="64">
        <f>+Tabla1[[#This Row],[STOCK    FISICO ENERO 2021]]-Tabla1[[#This Row],[REQUISICIONES FEBRERO 2021]]</f>
        <v>191</v>
      </c>
      <c r="P606" s="64">
        <f>+Tabla1[[#This Row],[STOCK  FEBRERO 2021]]-Tabla1[[#This Row],[REQUISICIONES MARZO 2021]]+Tabla1[[#This Row],[ENTRADAS MARZO 2021]]</f>
        <v>191</v>
      </c>
      <c r="Q606" s="31" t="s">
        <v>12</v>
      </c>
      <c r="R606" s="35">
        <v>3.5</v>
      </c>
      <c r="S606" s="36">
        <f t="shared" si="24"/>
        <v>4.13</v>
      </c>
      <c r="T606" s="100">
        <f>Tabla1[[#This Row],[STOCK MARZO ]]*Tabla1[[#This Row],[COSTO UNITARIO SIN ITBIS]]</f>
        <v>668.5</v>
      </c>
    </row>
    <row r="607" spans="1:20" s="9" customFormat="1" x14ac:dyDescent="0.25">
      <c r="A607" s="97">
        <v>49</v>
      </c>
      <c r="B607" s="76">
        <v>43223</v>
      </c>
      <c r="C607" s="14" t="s">
        <v>11</v>
      </c>
      <c r="D607" s="76">
        <v>43223</v>
      </c>
      <c r="E607" s="156"/>
      <c r="F607" s="14">
        <v>1199</v>
      </c>
      <c r="G607" s="77" t="s">
        <v>538</v>
      </c>
      <c r="H607" s="74">
        <v>6</v>
      </c>
      <c r="I607" s="74">
        <f>1+1</f>
        <v>2</v>
      </c>
      <c r="J607" s="74">
        <f>+'INVENTARIO ENERO-MARZO 2021'!$H607-'INVENTARIO ENERO-MARZO 2021'!$I607</f>
        <v>4</v>
      </c>
      <c r="K607" s="74"/>
      <c r="L607" s="74"/>
      <c r="M607" s="74">
        <v>2</v>
      </c>
      <c r="N607" s="74">
        <v>1</v>
      </c>
      <c r="O607" s="74">
        <f>+Tabla1[[#This Row],[STOCK    FISICO ENERO 2021]]-Tabla1[[#This Row],[REQUISICIONES FEBRERO 2021]]</f>
        <v>2</v>
      </c>
      <c r="P607" s="74">
        <f>+Tabla1[[#This Row],[STOCK  FEBRERO 2021]]-Tabla1[[#This Row],[REQUISICIONES MARZO 2021]]+Tabla1[[#This Row],[ENTRADAS MARZO 2021]]</f>
        <v>1</v>
      </c>
      <c r="Q607" s="75" t="s">
        <v>182</v>
      </c>
      <c r="R607" s="78">
        <v>315</v>
      </c>
      <c r="S607" s="36">
        <f t="shared" si="24"/>
        <v>371.7</v>
      </c>
      <c r="T607" s="100">
        <f>Tabla1[[#This Row],[STOCK MARZO ]]*Tabla1[[#This Row],[COSTO UNITARIO SIN ITBIS]]</f>
        <v>315</v>
      </c>
    </row>
    <row r="608" spans="1:20" s="9" customFormat="1" ht="15.75" thickBot="1" x14ac:dyDescent="0.3">
      <c r="A608" s="57"/>
      <c r="B608" s="57"/>
      <c r="C608" s="57"/>
      <c r="D608" s="57"/>
      <c r="E608" s="152"/>
      <c r="F608" s="57"/>
      <c r="G608" s="57"/>
      <c r="H608" s="58"/>
      <c r="I608" s="58"/>
      <c r="J608" s="58">
        <f>+'INVENTARIO ENERO-MARZO 2021'!$H608-'INVENTARIO ENERO-MARZO 2021'!$I608</f>
        <v>0</v>
      </c>
      <c r="K608" s="58"/>
      <c r="L608" s="58"/>
      <c r="M608" s="58"/>
      <c r="N608" s="58"/>
      <c r="O608" s="58"/>
      <c r="P608" s="58">
        <f>+Tabla1[[#This Row],[STOCK  FEBRERO 2021]]-Tabla1[[#This Row],[REQUISICIONES MARZO 2021]]+Tabla1[[#This Row],[ENTRADAS MARZO 2021]]</f>
        <v>0</v>
      </c>
      <c r="Q608" s="57"/>
      <c r="R608" s="59"/>
      <c r="S608" s="59" t="s">
        <v>770</v>
      </c>
      <c r="T608" s="102">
        <f>SUM(T559:T607)</f>
        <v>164464.32636363636</v>
      </c>
    </row>
    <row r="609" spans="1:20" s="9" customFormat="1" ht="15.75" thickTop="1" x14ac:dyDescent="0.25">
      <c r="A609" s="62" t="s">
        <v>539</v>
      </c>
      <c r="B609" s="62"/>
      <c r="C609" s="62"/>
      <c r="D609" s="62"/>
      <c r="E609" s="103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103"/>
    </row>
    <row r="610" spans="1:20" x14ac:dyDescent="0.25">
      <c r="A610" s="98">
        <v>1</v>
      </c>
      <c r="B610" s="32"/>
      <c r="C610" s="29"/>
      <c r="D610" s="32"/>
      <c r="E610" s="148"/>
      <c r="F610" s="14"/>
      <c r="G610" s="33" t="s">
        <v>354</v>
      </c>
      <c r="H610" s="64">
        <v>32</v>
      </c>
      <c r="I610" s="64"/>
      <c r="J610" s="64">
        <f>+'INVENTARIO ENERO-MARZO 2021'!$H610-'INVENTARIO ENERO-MARZO 2021'!$I610</f>
        <v>32</v>
      </c>
      <c r="K610" s="64"/>
      <c r="L610" s="64"/>
      <c r="M610" s="64"/>
      <c r="N610" s="64">
        <v>8</v>
      </c>
      <c r="O610" s="64">
        <f>+Tabla1[[#This Row],[STOCK    FISICO ENERO 2021]]-Tabla1[[#This Row],[REQUISICIONES FEBRERO 2021]]</f>
        <v>32</v>
      </c>
      <c r="P610" s="64">
        <f>+Tabla1[[#This Row],[STOCK  FEBRERO 2021]]-Tabla1[[#This Row],[REQUISICIONES MARZO 2021]]+Tabla1[[#This Row],[ENTRADAS MARZO 2021]]</f>
        <v>24</v>
      </c>
      <c r="Q610" s="80" t="s">
        <v>112</v>
      </c>
      <c r="R610" s="35">
        <v>0</v>
      </c>
      <c r="S610" s="36">
        <v>0</v>
      </c>
      <c r="T610" s="100">
        <f>Tabla1[[#This Row],[STOCK MARZO ]]*Tabla1[[#This Row],[COSTO UNITARIO SIN ITBIS]]</f>
        <v>0</v>
      </c>
    </row>
    <row r="611" spans="1:20" s="11" customFormat="1" x14ac:dyDescent="0.25">
      <c r="A611" s="98">
        <v>2</v>
      </c>
      <c r="B611" s="76">
        <v>44028</v>
      </c>
      <c r="C611" s="29" t="s">
        <v>11</v>
      </c>
      <c r="D611" s="76">
        <v>44028</v>
      </c>
      <c r="E611" s="156"/>
      <c r="F611" s="14">
        <v>1800</v>
      </c>
      <c r="G611" s="79" t="s">
        <v>540</v>
      </c>
      <c r="H611" s="74">
        <v>2</v>
      </c>
      <c r="I611" s="74"/>
      <c r="J611" s="74">
        <f>+'INVENTARIO ENERO-MARZO 2021'!$H611-'INVENTARIO ENERO-MARZO 2021'!$I611</f>
        <v>2</v>
      </c>
      <c r="K611" s="74"/>
      <c r="L611" s="74"/>
      <c r="M611" s="74"/>
      <c r="N611" s="74"/>
      <c r="O611" s="74">
        <f>+Tabla1[[#This Row],[STOCK    FISICO ENERO 2021]]-Tabla1[[#This Row],[REQUISICIONES FEBRERO 2021]]</f>
        <v>2</v>
      </c>
      <c r="P611" s="74">
        <f>+Tabla1[[#This Row],[STOCK  FEBRERO 2021]]-Tabla1[[#This Row],[REQUISICIONES MARZO 2021]]+Tabla1[[#This Row],[ENTRADAS MARZO 2021]]</f>
        <v>2</v>
      </c>
      <c r="Q611" s="80" t="s">
        <v>112</v>
      </c>
      <c r="R611" s="78">
        <v>241.08</v>
      </c>
      <c r="S611" s="36">
        <f t="shared" ref="S611:S627" si="25">R611*0.18+R611</f>
        <v>284.4744</v>
      </c>
      <c r="T611" s="100">
        <f>Tabla1[[#This Row],[STOCK MARZO ]]*Tabla1[[#This Row],[COSTO UNITARIO SIN ITBIS]]</f>
        <v>482.16</v>
      </c>
    </row>
    <row r="612" spans="1:20" s="9" customFormat="1" x14ac:dyDescent="0.25">
      <c r="A612" s="98">
        <v>3</v>
      </c>
      <c r="B612" s="76">
        <v>44168</v>
      </c>
      <c r="C612" s="29" t="s">
        <v>11</v>
      </c>
      <c r="D612" s="76">
        <v>44147</v>
      </c>
      <c r="E612" s="156"/>
      <c r="F612" s="14">
        <v>1798</v>
      </c>
      <c r="G612" s="77" t="s">
        <v>706</v>
      </c>
      <c r="H612" s="74">
        <v>2</v>
      </c>
      <c r="I612" s="74"/>
      <c r="J612" s="74">
        <f>+'INVENTARIO ENERO-MARZO 2021'!$H612-'INVENTARIO ENERO-MARZO 2021'!$I612</f>
        <v>2</v>
      </c>
      <c r="K612" s="74"/>
      <c r="L612" s="74"/>
      <c r="M612" s="74"/>
      <c r="N612" s="74"/>
      <c r="O612" s="74">
        <f>+Tabla1[[#This Row],[STOCK    FISICO ENERO 2021]]-Tabla1[[#This Row],[REQUISICIONES FEBRERO 2021]]</f>
        <v>2</v>
      </c>
      <c r="P612" s="74">
        <f>+Tabla1[[#This Row],[STOCK  FEBRERO 2021]]-Tabla1[[#This Row],[REQUISICIONES MARZO 2021]]+Tabla1[[#This Row],[ENTRADAS MARZO 2021]]</f>
        <v>2</v>
      </c>
      <c r="Q612" s="75" t="s">
        <v>112</v>
      </c>
      <c r="R612" s="78">
        <v>157.44</v>
      </c>
      <c r="S612" s="36">
        <f t="shared" si="25"/>
        <v>185.7792</v>
      </c>
      <c r="T612" s="100">
        <f>Tabla1[[#This Row],[STOCK MARZO ]]*Tabla1[[#This Row],[COSTO UNITARIO SIN ITBIS]]</f>
        <v>314.88</v>
      </c>
    </row>
    <row r="613" spans="1:20" s="9" customFormat="1" x14ac:dyDescent="0.25">
      <c r="A613" s="98">
        <v>4</v>
      </c>
      <c r="B613" s="76">
        <v>44168</v>
      </c>
      <c r="C613" s="29" t="s">
        <v>11</v>
      </c>
      <c r="D613" s="76">
        <v>44147</v>
      </c>
      <c r="E613" s="156"/>
      <c r="F613" s="14">
        <v>1801</v>
      </c>
      <c r="G613" s="77" t="s">
        <v>707</v>
      </c>
      <c r="H613" s="74">
        <v>3</v>
      </c>
      <c r="I613" s="74"/>
      <c r="J613" s="74">
        <f>+'INVENTARIO ENERO-MARZO 2021'!$H613-'INVENTARIO ENERO-MARZO 2021'!$I613</f>
        <v>3</v>
      </c>
      <c r="K613" s="74"/>
      <c r="L613" s="74"/>
      <c r="M613" s="74"/>
      <c r="N613" s="74"/>
      <c r="O613" s="74">
        <f>+Tabla1[[#This Row],[STOCK    FISICO ENERO 2021]]-Tabla1[[#This Row],[REQUISICIONES FEBRERO 2021]]</f>
        <v>3</v>
      </c>
      <c r="P613" s="74">
        <f>+Tabla1[[#This Row],[STOCK  FEBRERO 2021]]-Tabla1[[#This Row],[REQUISICIONES MARZO 2021]]+Tabla1[[#This Row],[ENTRADAS MARZO 2021]]</f>
        <v>3</v>
      </c>
      <c r="Q613" s="75" t="s">
        <v>112</v>
      </c>
      <c r="R613" s="78">
        <v>156.46</v>
      </c>
      <c r="S613" s="36">
        <f t="shared" si="25"/>
        <v>184.62280000000001</v>
      </c>
      <c r="T613" s="100">
        <f>Tabla1[[#This Row],[STOCK MARZO ]]*Tabla1[[#This Row],[COSTO UNITARIO SIN ITBIS]]</f>
        <v>469.38</v>
      </c>
    </row>
    <row r="614" spans="1:20" s="9" customFormat="1" x14ac:dyDescent="0.25">
      <c r="A614" s="98">
        <v>5</v>
      </c>
      <c r="B614" s="76">
        <v>44168</v>
      </c>
      <c r="C614" s="29" t="s">
        <v>11</v>
      </c>
      <c r="D614" s="76">
        <v>44151</v>
      </c>
      <c r="E614" s="156"/>
      <c r="F614" s="29">
        <v>1799</v>
      </c>
      <c r="G614" s="33" t="s">
        <v>708</v>
      </c>
      <c r="H614" s="73">
        <v>2</v>
      </c>
      <c r="I614" s="73"/>
      <c r="J614" s="73">
        <f>+'INVENTARIO ENERO-MARZO 2021'!$H614-'INVENTARIO ENERO-MARZO 2021'!$I614</f>
        <v>2</v>
      </c>
      <c r="K614" s="73"/>
      <c r="L614" s="73"/>
      <c r="M614" s="73"/>
      <c r="N614" s="73"/>
      <c r="O614" s="73">
        <f>+Tabla1[[#This Row],[STOCK    FISICO ENERO 2021]]-Tabla1[[#This Row],[REQUISICIONES FEBRERO 2021]]</f>
        <v>2</v>
      </c>
      <c r="P614" s="73">
        <f>+Tabla1[[#This Row],[STOCK  FEBRERO 2021]]-Tabla1[[#This Row],[REQUISICIONES MARZO 2021]]+Tabla1[[#This Row],[ENTRADAS MARZO 2021]]</f>
        <v>2</v>
      </c>
      <c r="Q614" s="31" t="s">
        <v>112</v>
      </c>
      <c r="R614" s="35">
        <v>610.08000000000004</v>
      </c>
      <c r="S614" s="36">
        <f t="shared" si="25"/>
        <v>719.89440000000002</v>
      </c>
      <c r="T614" s="100">
        <f>Tabla1[[#This Row],[STOCK MARZO ]]*Tabla1[[#This Row],[COSTO UNITARIO SIN ITBIS]]</f>
        <v>1220.1600000000001</v>
      </c>
    </row>
    <row r="615" spans="1:20" s="9" customFormat="1" x14ac:dyDescent="0.25">
      <c r="A615" s="98">
        <v>6</v>
      </c>
      <c r="B615" s="76">
        <v>44168</v>
      </c>
      <c r="C615" s="29" t="s">
        <v>11</v>
      </c>
      <c r="D615" s="76">
        <v>44153</v>
      </c>
      <c r="E615" s="156"/>
      <c r="F615" s="14">
        <v>1555</v>
      </c>
      <c r="G615" s="77" t="s">
        <v>541</v>
      </c>
      <c r="H615" s="64">
        <v>1088</v>
      </c>
      <c r="I615" s="64"/>
      <c r="J615" s="64">
        <f>+'INVENTARIO ENERO-MARZO 2021'!$H615-'INVENTARIO ENERO-MARZO 2021'!$I615</f>
        <v>1088</v>
      </c>
      <c r="K615" s="64"/>
      <c r="L615" s="64"/>
      <c r="M615" s="64"/>
      <c r="N615" s="64"/>
      <c r="O615" s="64">
        <f>+Tabla1[[#This Row],[STOCK    FISICO ENERO 2021]]-Tabla1[[#This Row],[REQUISICIONES FEBRERO 2021]]</f>
        <v>1088</v>
      </c>
      <c r="P615" s="64">
        <f>+Tabla1[[#This Row],[STOCK  FEBRERO 2021]]-Tabla1[[#This Row],[REQUISICIONES MARZO 2021]]+Tabla1[[#This Row],[ENTRADAS MARZO 2021]]</f>
        <v>1088</v>
      </c>
      <c r="Q615" s="75" t="s">
        <v>12</v>
      </c>
      <c r="R615" s="78">
        <v>1.1000000000000001</v>
      </c>
      <c r="S615" s="36">
        <f t="shared" si="25"/>
        <v>1.298</v>
      </c>
      <c r="T615" s="100">
        <f>Tabla1[[#This Row],[STOCK MARZO ]]*Tabla1[[#This Row],[COSTO UNITARIO SIN ITBIS]]</f>
        <v>1196.8000000000002</v>
      </c>
    </row>
    <row r="616" spans="1:20" s="9" customFormat="1" x14ac:dyDescent="0.25">
      <c r="A616" s="98">
        <v>7</v>
      </c>
      <c r="B616" s="76">
        <v>44168</v>
      </c>
      <c r="C616" s="29" t="s">
        <v>11</v>
      </c>
      <c r="D616" s="76">
        <v>44153</v>
      </c>
      <c r="E616" s="156"/>
      <c r="F616" s="29">
        <v>1556</v>
      </c>
      <c r="G616" s="33" t="s">
        <v>542</v>
      </c>
      <c r="H616" s="74">
        <v>2626</v>
      </c>
      <c r="I616" s="74"/>
      <c r="J616" s="74">
        <f>+'INVENTARIO ENERO-MARZO 2021'!$H616-'INVENTARIO ENERO-MARZO 2021'!$I616</f>
        <v>2626</v>
      </c>
      <c r="K616" s="74"/>
      <c r="L616" s="74"/>
      <c r="M616" s="74"/>
      <c r="N616" s="74"/>
      <c r="O616" s="74">
        <f>+Tabla1[[#This Row],[STOCK    FISICO ENERO 2021]]-Tabla1[[#This Row],[REQUISICIONES FEBRERO 2021]]</f>
        <v>2626</v>
      </c>
      <c r="P616" s="74">
        <f>+Tabla1[[#This Row],[STOCK  FEBRERO 2021]]-Tabla1[[#This Row],[REQUISICIONES MARZO 2021]]+Tabla1[[#This Row],[ENTRADAS MARZO 2021]]</f>
        <v>2626</v>
      </c>
      <c r="Q616" s="31" t="s">
        <v>12</v>
      </c>
      <c r="R616" s="35">
        <v>1.85</v>
      </c>
      <c r="S616" s="36">
        <f t="shared" si="25"/>
        <v>2.1830000000000003</v>
      </c>
      <c r="T616" s="100">
        <f>Tabla1[[#This Row],[STOCK MARZO ]]*Tabla1[[#This Row],[COSTO UNITARIO SIN ITBIS]]</f>
        <v>4858.1000000000004</v>
      </c>
    </row>
    <row r="617" spans="1:20" s="9" customFormat="1" x14ac:dyDescent="0.25">
      <c r="A617" s="98">
        <v>8</v>
      </c>
      <c r="B617" s="76">
        <v>44168</v>
      </c>
      <c r="C617" s="29" t="s">
        <v>11</v>
      </c>
      <c r="D617" s="76">
        <v>44154</v>
      </c>
      <c r="E617" s="156"/>
      <c r="F617" s="14">
        <v>1806</v>
      </c>
      <c r="G617" s="77" t="s">
        <v>543</v>
      </c>
      <c r="H617" s="74">
        <v>1</v>
      </c>
      <c r="I617" s="74"/>
      <c r="J617" s="74">
        <f>+'INVENTARIO ENERO-MARZO 2021'!$H617-'INVENTARIO ENERO-MARZO 2021'!$I617</f>
        <v>1</v>
      </c>
      <c r="K617" s="74"/>
      <c r="L617" s="74"/>
      <c r="M617" s="74"/>
      <c r="N617" s="74"/>
      <c r="O617" s="74">
        <f>+Tabla1[[#This Row],[STOCK    FISICO ENERO 2021]]-Tabla1[[#This Row],[REQUISICIONES FEBRERO 2021]]</f>
        <v>1</v>
      </c>
      <c r="P617" s="74">
        <f>+Tabla1[[#This Row],[STOCK  FEBRERO 2021]]-Tabla1[[#This Row],[REQUISICIONES MARZO 2021]]+Tabla1[[#This Row],[ENTRADAS MARZO 2021]]</f>
        <v>1</v>
      </c>
      <c r="Q617" s="75" t="s">
        <v>112</v>
      </c>
      <c r="R617" s="78">
        <v>319.8</v>
      </c>
      <c r="S617" s="36">
        <f t="shared" si="25"/>
        <v>377.36400000000003</v>
      </c>
      <c r="T617" s="100">
        <f>Tabla1[[#This Row],[STOCK MARZO ]]*Tabla1[[#This Row],[COSTO UNITARIO SIN ITBIS]]</f>
        <v>319.8</v>
      </c>
    </row>
    <row r="618" spans="1:20" s="9" customFormat="1" x14ac:dyDescent="0.25">
      <c r="A618" s="98">
        <v>9</v>
      </c>
      <c r="B618" s="32">
        <v>44028</v>
      </c>
      <c r="C618" s="29" t="s">
        <v>11</v>
      </c>
      <c r="D618" s="32">
        <v>44028</v>
      </c>
      <c r="E618" s="148"/>
      <c r="F618" s="14"/>
      <c r="G618" s="77" t="s">
        <v>544</v>
      </c>
      <c r="H618" s="74">
        <v>10</v>
      </c>
      <c r="I618" s="74"/>
      <c r="J618" s="74">
        <f>+'INVENTARIO ENERO-MARZO 2021'!$H618-'INVENTARIO ENERO-MARZO 2021'!$I618</f>
        <v>10</v>
      </c>
      <c r="K618" s="74"/>
      <c r="L618" s="74"/>
      <c r="M618" s="74"/>
      <c r="N618" s="74"/>
      <c r="O618" s="74">
        <f>+Tabla1[[#This Row],[STOCK    FISICO ENERO 2021]]-Tabla1[[#This Row],[REQUISICIONES FEBRERO 2021]]</f>
        <v>10</v>
      </c>
      <c r="P618" s="74">
        <f>+Tabla1[[#This Row],[STOCK  FEBRERO 2021]]-Tabla1[[#This Row],[REQUISICIONES MARZO 2021]]+Tabla1[[#This Row],[ENTRADAS MARZO 2021]]</f>
        <v>10</v>
      </c>
      <c r="Q618" s="75" t="s">
        <v>112</v>
      </c>
      <c r="R618" s="78">
        <v>100</v>
      </c>
      <c r="S618" s="36">
        <f t="shared" si="25"/>
        <v>118</v>
      </c>
      <c r="T618" s="100">
        <f>Tabla1[[#This Row],[STOCK MARZO ]]*Tabla1[[#This Row],[COSTO UNITARIO SIN ITBIS]]</f>
        <v>1000</v>
      </c>
    </row>
    <row r="619" spans="1:20" s="9" customFormat="1" x14ac:dyDescent="0.25">
      <c r="A619" s="98">
        <v>10</v>
      </c>
      <c r="B619" s="76">
        <v>44028</v>
      </c>
      <c r="C619" s="29" t="s">
        <v>11</v>
      </c>
      <c r="D619" s="76">
        <v>44028</v>
      </c>
      <c r="E619" s="156"/>
      <c r="F619" s="14"/>
      <c r="G619" s="77" t="s">
        <v>709</v>
      </c>
      <c r="H619" s="74">
        <v>20</v>
      </c>
      <c r="I619" s="74"/>
      <c r="J619" s="74">
        <f>+'INVENTARIO ENERO-MARZO 2021'!$H619-'INVENTARIO ENERO-MARZO 2021'!$I619</f>
        <v>20</v>
      </c>
      <c r="K619" s="74"/>
      <c r="L619" s="74"/>
      <c r="M619" s="74"/>
      <c r="N619" s="74"/>
      <c r="O619" s="74">
        <f>+Tabla1[[#This Row],[STOCK    FISICO ENERO 2021]]-Tabla1[[#This Row],[REQUISICIONES FEBRERO 2021]]</f>
        <v>20</v>
      </c>
      <c r="P619" s="74">
        <f>+Tabla1[[#This Row],[STOCK  FEBRERO 2021]]-Tabla1[[#This Row],[REQUISICIONES MARZO 2021]]+Tabla1[[#This Row],[ENTRADAS MARZO 2021]]</f>
        <v>20</v>
      </c>
      <c r="Q619" s="75" t="s">
        <v>199</v>
      </c>
      <c r="R619" s="78">
        <v>30</v>
      </c>
      <c r="S619" s="36">
        <f t="shared" si="25"/>
        <v>35.4</v>
      </c>
      <c r="T619" s="100">
        <f>Tabla1[[#This Row],[STOCK MARZO ]]*Tabla1[[#This Row],[COSTO UNITARIO SIN ITBIS]]</f>
        <v>600</v>
      </c>
    </row>
    <row r="620" spans="1:20" s="9" customFormat="1" x14ac:dyDescent="0.25">
      <c r="A620" s="98">
        <v>11</v>
      </c>
      <c r="B620" s="32">
        <v>44028</v>
      </c>
      <c r="C620" s="29" t="s">
        <v>11</v>
      </c>
      <c r="D620" s="32">
        <v>44028</v>
      </c>
      <c r="E620" s="148"/>
      <c r="F620" s="14"/>
      <c r="G620" s="77" t="s">
        <v>545</v>
      </c>
      <c r="H620" s="74">
        <v>6</v>
      </c>
      <c r="I620" s="74"/>
      <c r="J620" s="74">
        <f>+'INVENTARIO ENERO-MARZO 2021'!$H620-'INVENTARIO ENERO-MARZO 2021'!$I620</f>
        <v>6</v>
      </c>
      <c r="K620" s="74"/>
      <c r="L620" s="74"/>
      <c r="M620" s="74"/>
      <c r="N620" s="74"/>
      <c r="O620" s="74">
        <f>+Tabla1[[#This Row],[STOCK    FISICO ENERO 2021]]-Tabla1[[#This Row],[REQUISICIONES FEBRERO 2021]]</f>
        <v>6</v>
      </c>
      <c r="P620" s="74">
        <f>+Tabla1[[#This Row],[STOCK  FEBRERO 2021]]-Tabla1[[#This Row],[REQUISICIONES MARZO 2021]]+Tabla1[[#This Row],[ENTRADAS MARZO 2021]]</f>
        <v>6</v>
      </c>
      <c r="Q620" s="75" t="s">
        <v>199</v>
      </c>
      <c r="R620" s="78">
        <v>35</v>
      </c>
      <c r="S620" s="36">
        <f t="shared" si="25"/>
        <v>41.3</v>
      </c>
      <c r="T620" s="100">
        <f>Tabla1[[#This Row],[STOCK MARZO ]]*Tabla1[[#This Row],[COSTO UNITARIO SIN ITBIS]]</f>
        <v>210</v>
      </c>
    </row>
    <row r="621" spans="1:20" s="9" customFormat="1" x14ac:dyDescent="0.25">
      <c r="A621" s="98">
        <v>12</v>
      </c>
      <c r="B621" s="76">
        <v>43223</v>
      </c>
      <c r="C621" s="29" t="s">
        <v>11</v>
      </c>
      <c r="D621" s="76">
        <v>43223</v>
      </c>
      <c r="E621" s="156"/>
      <c r="F621" s="29">
        <v>1543</v>
      </c>
      <c r="G621" s="33" t="s">
        <v>546</v>
      </c>
      <c r="H621" s="64">
        <v>2</v>
      </c>
      <c r="I621" s="64"/>
      <c r="J621" s="64">
        <f>+'INVENTARIO ENERO-MARZO 2021'!$H621-'INVENTARIO ENERO-MARZO 2021'!$I621</f>
        <v>2</v>
      </c>
      <c r="K621" s="64"/>
      <c r="L621" s="64"/>
      <c r="M621" s="64">
        <v>2</v>
      </c>
      <c r="N621" s="64"/>
      <c r="O621" s="64">
        <f>+Tabla1[[#This Row],[STOCK    FISICO ENERO 2021]]-Tabla1[[#This Row],[REQUISICIONES FEBRERO 2021]]</f>
        <v>0</v>
      </c>
      <c r="P621" s="64">
        <f>+Tabla1[[#This Row],[STOCK  FEBRERO 2021]]-Tabla1[[#This Row],[REQUISICIONES MARZO 2021]]+Tabla1[[#This Row],[ENTRADAS MARZO 2021]]</f>
        <v>0</v>
      </c>
      <c r="Q621" s="31" t="s">
        <v>12</v>
      </c>
      <c r="R621" s="35">
        <v>813.56</v>
      </c>
      <c r="S621" s="36">
        <f t="shared" si="25"/>
        <v>960.00079999999991</v>
      </c>
      <c r="T621" s="100">
        <f>Tabla1[[#This Row],[STOCK MARZO ]]*Tabla1[[#This Row],[COSTO UNITARIO SIN ITBIS]]</f>
        <v>0</v>
      </c>
    </row>
    <row r="622" spans="1:20" s="9" customFormat="1" x14ac:dyDescent="0.25">
      <c r="A622" s="98">
        <v>13</v>
      </c>
      <c r="B622" s="32">
        <v>44027</v>
      </c>
      <c r="C622" s="29" t="s">
        <v>11</v>
      </c>
      <c r="D622" s="32">
        <v>44027</v>
      </c>
      <c r="E622" s="148"/>
      <c r="F622" s="14">
        <v>1583</v>
      </c>
      <c r="G622" s="77" t="s">
        <v>547</v>
      </c>
      <c r="H622" s="74">
        <v>18</v>
      </c>
      <c r="I622" s="74">
        <v>1</v>
      </c>
      <c r="J622" s="74">
        <f>+'INVENTARIO ENERO-MARZO 2021'!$H622-'INVENTARIO ENERO-MARZO 2021'!$I622</f>
        <v>17</v>
      </c>
      <c r="K622" s="74"/>
      <c r="L622" s="74"/>
      <c r="M622" s="74">
        <v>1</v>
      </c>
      <c r="N622" s="74"/>
      <c r="O622" s="74">
        <f>+Tabla1[[#This Row],[STOCK    FISICO ENERO 2021]]-Tabla1[[#This Row],[REQUISICIONES FEBRERO 2021]]</f>
        <v>16</v>
      </c>
      <c r="P622" s="74">
        <f>+Tabla1[[#This Row],[STOCK  FEBRERO 2021]]-Tabla1[[#This Row],[REQUISICIONES MARZO 2021]]+Tabla1[[#This Row],[ENTRADAS MARZO 2021]]</f>
        <v>16</v>
      </c>
      <c r="Q622" s="75" t="s">
        <v>12</v>
      </c>
      <c r="R622" s="78">
        <v>25.42</v>
      </c>
      <c r="S622" s="36">
        <f t="shared" si="25"/>
        <v>29.995600000000003</v>
      </c>
      <c r="T622" s="100">
        <f>Tabla1[[#This Row],[STOCK MARZO ]]*Tabla1[[#This Row],[COSTO UNITARIO SIN ITBIS]]</f>
        <v>406.72</v>
      </c>
    </row>
    <row r="623" spans="1:20" s="9" customFormat="1" ht="15.75" customHeight="1" x14ac:dyDescent="0.25">
      <c r="A623" s="98">
        <v>14</v>
      </c>
      <c r="B623" s="76">
        <v>44028</v>
      </c>
      <c r="C623" s="29" t="s">
        <v>11</v>
      </c>
      <c r="D623" s="76">
        <v>44028</v>
      </c>
      <c r="E623" s="156"/>
      <c r="F623" s="29">
        <v>1584</v>
      </c>
      <c r="G623" s="33" t="s">
        <v>548</v>
      </c>
      <c r="H623" s="64">
        <v>15</v>
      </c>
      <c r="I623" s="64">
        <v>1</v>
      </c>
      <c r="J623" s="64">
        <f>+'INVENTARIO ENERO-MARZO 2021'!$H623-'INVENTARIO ENERO-MARZO 2021'!$I623</f>
        <v>14</v>
      </c>
      <c r="K623" s="64"/>
      <c r="L623" s="64"/>
      <c r="M623" s="64">
        <v>1</v>
      </c>
      <c r="N623" s="64"/>
      <c r="O623" s="64">
        <f>+Tabla1[[#This Row],[STOCK    FISICO ENERO 2021]]-Tabla1[[#This Row],[REQUISICIONES FEBRERO 2021]]</f>
        <v>13</v>
      </c>
      <c r="P623" s="64">
        <f>+Tabla1[[#This Row],[STOCK  FEBRERO 2021]]-Tabla1[[#This Row],[REQUISICIONES MARZO 2021]]+Tabla1[[#This Row],[ENTRADAS MARZO 2021]]</f>
        <v>13</v>
      </c>
      <c r="Q623" s="31" t="s">
        <v>12</v>
      </c>
      <c r="R623" s="35">
        <v>30.51</v>
      </c>
      <c r="S623" s="36">
        <f t="shared" si="25"/>
        <v>36.001800000000003</v>
      </c>
      <c r="T623" s="100">
        <f>Tabla1[[#This Row],[STOCK MARZO ]]*Tabla1[[#This Row],[COSTO UNITARIO SIN ITBIS]]</f>
        <v>396.63</v>
      </c>
    </row>
    <row r="624" spans="1:20" s="9" customFormat="1" x14ac:dyDescent="0.25">
      <c r="A624" s="98">
        <v>15</v>
      </c>
      <c r="B624" s="32">
        <v>43223</v>
      </c>
      <c r="C624" s="29" t="s">
        <v>11</v>
      </c>
      <c r="D624" s="32">
        <v>43223</v>
      </c>
      <c r="E624" s="148"/>
      <c r="F624" s="29">
        <v>1585</v>
      </c>
      <c r="G624" s="33" t="s">
        <v>549</v>
      </c>
      <c r="H624" s="64">
        <v>7</v>
      </c>
      <c r="I624" s="64"/>
      <c r="J624" s="64">
        <f>+'INVENTARIO ENERO-MARZO 2021'!$H624-'INVENTARIO ENERO-MARZO 2021'!$I624</f>
        <v>7</v>
      </c>
      <c r="K624" s="64"/>
      <c r="L624" s="64"/>
      <c r="M624" s="64">
        <f>1+1</f>
        <v>2</v>
      </c>
      <c r="N624" s="64">
        <f>3+1+1</f>
        <v>5</v>
      </c>
      <c r="O624" s="64">
        <f>+Tabla1[[#This Row],[STOCK    FISICO ENERO 2021]]-Tabla1[[#This Row],[REQUISICIONES FEBRERO 2021]]</f>
        <v>5</v>
      </c>
      <c r="P624" s="64">
        <f>+Tabla1[[#This Row],[STOCK  FEBRERO 2021]]-Tabla1[[#This Row],[REQUISICIONES MARZO 2021]]+Tabla1[[#This Row],[ENTRADAS MARZO 2021]]</f>
        <v>0</v>
      </c>
      <c r="Q624" s="31" t="s">
        <v>12</v>
      </c>
      <c r="R624" s="35">
        <v>50.85</v>
      </c>
      <c r="S624" s="36">
        <f t="shared" si="25"/>
        <v>60.003</v>
      </c>
      <c r="T624" s="100">
        <f>Tabla1[[#This Row],[STOCK MARZO ]]*Tabla1[[#This Row],[COSTO UNITARIO SIN ITBIS]]</f>
        <v>0</v>
      </c>
    </row>
    <row r="625" spans="1:20" s="9" customFormat="1" x14ac:dyDescent="0.25">
      <c r="A625" s="98">
        <v>16</v>
      </c>
      <c r="B625" s="76">
        <v>43223</v>
      </c>
      <c r="C625" s="29" t="s">
        <v>11</v>
      </c>
      <c r="D625" s="76">
        <v>43223</v>
      </c>
      <c r="E625" s="156"/>
      <c r="F625" s="14">
        <v>1586</v>
      </c>
      <c r="G625" s="77" t="s">
        <v>550</v>
      </c>
      <c r="H625" s="74">
        <v>9</v>
      </c>
      <c r="I625" s="74"/>
      <c r="J625" s="74">
        <f>+'INVENTARIO ENERO-MARZO 2021'!$H625-'INVENTARIO ENERO-MARZO 2021'!$I625</f>
        <v>9</v>
      </c>
      <c r="K625" s="74"/>
      <c r="L625" s="74"/>
      <c r="M625" s="74"/>
      <c r="N625" s="74"/>
      <c r="O625" s="74">
        <f>+Tabla1[[#This Row],[STOCK    FISICO ENERO 2021]]-Tabla1[[#This Row],[REQUISICIONES FEBRERO 2021]]</f>
        <v>9</v>
      </c>
      <c r="P625" s="74">
        <f>+Tabla1[[#This Row],[STOCK  FEBRERO 2021]]-Tabla1[[#This Row],[REQUISICIONES MARZO 2021]]+Tabla1[[#This Row],[ENTRADAS MARZO 2021]]</f>
        <v>9</v>
      </c>
      <c r="Q625" s="75" t="s">
        <v>12</v>
      </c>
      <c r="R625" s="78">
        <v>40.68</v>
      </c>
      <c r="S625" s="36">
        <f t="shared" si="25"/>
        <v>48.002400000000002</v>
      </c>
      <c r="T625" s="100">
        <f>Tabla1[[#This Row],[STOCK MARZO ]]*Tabla1[[#This Row],[COSTO UNITARIO SIN ITBIS]]</f>
        <v>366.12</v>
      </c>
    </row>
    <row r="626" spans="1:20" s="9" customFormat="1" x14ac:dyDescent="0.25">
      <c r="A626" s="98">
        <v>17</v>
      </c>
      <c r="B626" s="32">
        <v>44028</v>
      </c>
      <c r="C626" s="29" t="s">
        <v>11</v>
      </c>
      <c r="D626" s="32">
        <v>44028</v>
      </c>
      <c r="E626" s="148"/>
      <c r="F626" s="29">
        <v>1808</v>
      </c>
      <c r="G626" s="33" t="s">
        <v>551</v>
      </c>
      <c r="H626" s="64">
        <v>1</v>
      </c>
      <c r="I626" s="64"/>
      <c r="J626" s="64">
        <f>+'INVENTARIO ENERO-MARZO 2021'!$H626-'INVENTARIO ENERO-MARZO 2021'!$I626</f>
        <v>1</v>
      </c>
      <c r="K626" s="64"/>
      <c r="L626" s="64"/>
      <c r="M626" s="64"/>
      <c r="N626" s="64"/>
      <c r="O626" s="64">
        <f>+Tabla1[[#This Row],[STOCK    FISICO ENERO 2021]]-Tabla1[[#This Row],[REQUISICIONES FEBRERO 2021]]</f>
        <v>1</v>
      </c>
      <c r="P626" s="64">
        <f>+Tabla1[[#This Row],[STOCK  FEBRERO 2021]]-Tabla1[[#This Row],[REQUISICIONES MARZO 2021]]+Tabla1[[#This Row],[ENTRADAS MARZO 2021]]</f>
        <v>1</v>
      </c>
      <c r="Q626" s="31" t="s">
        <v>112</v>
      </c>
      <c r="R626" s="35">
        <v>1774.57</v>
      </c>
      <c r="S626" s="36">
        <f t="shared" si="25"/>
        <v>2093.9926</v>
      </c>
      <c r="T626" s="100">
        <f>Tabla1[[#This Row],[STOCK MARZO ]]*Tabla1[[#This Row],[COSTO UNITARIO SIN ITBIS]]</f>
        <v>1774.57</v>
      </c>
    </row>
    <row r="627" spans="1:20" s="9" customFormat="1" ht="16.5" customHeight="1" x14ac:dyDescent="0.25">
      <c r="A627" s="98">
        <v>18</v>
      </c>
      <c r="B627" s="32">
        <v>44028</v>
      </c>
      <c r="C627" s="29" t="s">
        <v>11</v>
      </c>
      <c r="D627" s="32">
        <v>44028</v>
      </c>
      <c r="E627" s="148"/>
      <c r="F627" s="14">
        <v>1811</v>
      </c>
      <c r="G627" s="77" t="s">
        <v>552</v>
      </c>
      <c r="H627" s="74">
        <v>0</v>
      </c>
      <c r="I627" s="74"/>
      <c r="J627" s="74">
        <f>+'INVENTARIO ENERO-MARZO 2021'!$H627-'INVENTARIO ENERO-MARZO 2021'!$I627</f>
        <v>0</v>
      </c>
      <c r="K627" s="74"/>
      <c r="L627" s="74"/>
      <c r="M627" s="74"/>
      <c r="N627" s="74"/>
      <c r="O627" s="74">
        <f>+Tabla1[[#This Row],[STOCK    FISICO ENERO 2021]]-Tabla1[[#This Row],[REQUISICIONES FEBRERO 2021]]</f>
        <v>0</v>
      </c>
      <c r="P627" s="74">
        <f>+Tabla1[[#This Row],[STOCK  FEBRERO 2021]]-Tabla1[[#This Row],[REQUISICIONES MARZO 2021]]+Tabla1[[#This Row],[ENTRADAS MARZO 2021]]</f>
        <v>0</v>
      </c>
      <c r="Q627" s="75" t="s">
        <v>112</v>
      </c>
      <c r="R627" s="78">
        <v>206.64</v>
      </c>
      <c r="S627" s="36">
        <f t="shared" si="25"/>
        <v>243.83519999999999</v>
      </c>
      <c r="T627" s="100">
        <f>Tabla1[[#This Row],[STOCK MARZO ]]*Tabla1[[#This Row],[COSTO UNITARIO SIN ITBIS]]</f>
        <v>0</v>
      </c>
    </row>
    <row r="628" spans="1:20" s="9" customFormat="1" ht="15.75" customHeight="1" x14ac:dyDescent="0.25">
      <c r="A628" s="98">
        <v>19</v>
      </c>
      <c r="B628" s="32"/>
      <c r="C628" s="29" t="s">
        <v>11</v>
      </c>
      <c r="D628" s="32"/>
      <c r="E628" s="148"/>
      <c r="F628" s="14"/>
      <c r="G628" s="33" t="s">
        <v>736</v>
      </c>
      <c r="H628" s="64">
        <v>2</v>
      </c>
      <c r="I628" s="64"/>
      <c r="J628" s="64">
        <f>+'INVENTARIO ENERO-MARZO 2021'!$H628-'INVENTARIO ENERO-MARZO 2021'!$I628</f>
        <v>2</v>
      </c>
      <c r="K628" s="64"/>
      <c r="L628" s="64"/>
      <c r="M628" s="64"/>
      <c r="N628" s="64"/>
      <c r="O628" s="64">
        <f>+Tabla1[[#This Row],[STOCK    FISICO ENERO 2021]]-Tabla1[[#This Row],[REQUISICIONES FEBRERO 2021]]</f>
        <v>2</v>
      </c>
      <c r="P628" s="64">
        <f>+Tabla1[[#This Row],[STOCK  FEBRERO 2021]]-Tabla1[[#This Row],[REQUISICIONES MARZO 2021]]+Tabla1[[#This Row],[ENTRADAS MARZO 2021]]</f>
        <v>2</v>
      </c>
      <c r="Q628" s="75" t="s">
        <v>112</v>
      </c>
      <c r="R628" s="35"/>
      <c r="S628" s="36"/>
      <c r="T628" s="100">
        <f>Tabla1[[#This Row],[STOCK MARZO ]]*Tabla1[[#This Row],[COSTO UNITARIO SIN ITBIS]]</f>
        <v>0</v>
      </c>
    </row>
    <row r="629" spans="1:20" s="9" customFormat="1" x14ac:dyDescent="0.25">
      <c r="A629" s="98">
        <v>20</v>
      </c>
      <c r="B629" s="32"/>
      <c r="C629" s="29" t="s">
        <v>11</v>
      </c>
      <c r="D629" s="32"/>
      <c r="E629" s="148"/>
      <c r="F629" s="14"/>
      <c r="G629" s="33" t="s">
        <v>714</v>
      </c>
      <c r="H629" s="64">
        <v>2</v>
      </c>
      <c r="I629" s="64"/>
      <c r="J629" s="64">
        <f>+'INVENTARIO ENERO-MARZO 2021'!$H629-'INVENTARIO ENERO-MARZO 2021'!$I629</f>
        <v>2</v>
      </c>
      <c r="K629" s="64"/>
      <c r="L629" s="64"/>
      <c r="M629" s="64"/>
      <c r="N629" s="64"/>
      <c r="O629" s="64">
        <f>+Tabla1[[#This Row],[STOCK    FISICO ENERO 2021]]-Tabla1[[#This Row],[REQUISICIONES FEBRERO 2021]]</f>
        <v>2</v>
      </c>
      <c r="P629" s="64">
        <f>+Tabla1[[#This Row],[STOCK  FEBRERO 2021]]-Tabla1[[#This Row],[REQUISICIONES MARZO 2021]]+Tabla1[[#This Row],[ENTRADAS MARZO 2021]]</f>
        <v>2</v>
      </c>
      <c r="Q629" s="75" t="s">
        <v>112</v>
      </c>
      <c r="R629" s="35"/>
      <c r="S629" s="36"/>
      <c r="T629" s="100">
        <f>Tabla1[[#This Row],[STOCK MARZO ]]*Tabla1[[#This Row],[COSTO UNITARIO SIN ITBIS]]</f>
        <v>0</v>
      </c>
    </row>
    <row r="630" spans="1:20" s="21" customFormat="1" x14ac:dyDescent="0.25">
      <c r="A630" s="98">
        <v>21</v>
      </c>
      <c r="B630" s="32"/>
      <c r="C630" s="29" t="s">
        <v>11</v>
      </c>
      <c r="D630" s="32"/>
      <c r="E630" s="148"/>
      <c r="F630" s="14"/>
      <c r="G630" s="33" t="s">
        <v>716</v>
      </c>
      <c r="H630" s="64">
        <v>2</v>
      </c>
      <c r="I630" s="64"/>
      <c r="J630" s="64">
        <f>+'INVENTARIO ENERO-MARZO 2021'!$H630-'INVENTARIO ENERO-MARZO 2021'!$I630</f>
        <v>2</v>
      </c>
      <c r="K630" s="64"/>
      <c r="L630" s="64"/>
      <c r="M630" s="64"/>
      <c r="N630" s="64"/>
      <c r="O630" s="64">
        <f>+Tabla1[[#This Row],[STOCK    FISICO ENERO 2021]]-Tabla1[[#This Row],[REQUISICIONES FEBRERO 2021]]</f>
        <v>2</v>
      </c>
      <c r="P630" s="64">
        <f>+Tabla1[[#This Row],[STOCK  FEBRERO 2021]]-Tabla1[[#This Row],[REQUISICIONES MARZO 2021]]+Tabla1[[#This Row],[ENTRADAS MARZO 2021]]</f>
        <v>2</v>
      </c>
      <c r="Q630" s="75" t="s">
        <v>112</v>
      </c>
      <c r="R630" s="35"/>
      <c r="S630" s="36"/>
      <c r="T630" s="100">
        <f>Tabla1[[#This Row],[STOCK MARZO ]]*Tabla1[[#This Row],[COSTO UNITARIO SIN ITBIS]]</f>
        <v>0</v>
      </c>
    </row>
    <row r="631" spans="1:20" s="21" customFormat="1" x14ac:dyDescent="0.25">
      <c r="A631" s="98">
        <v>22</v>
      </c>
      <c r="B631" s="32">
        <v>44026</v>
      </c>
      <c r="C631" s="29" t="s">
        <v>11</v>
      </c>
      <c r="D631" s="32">
        <v>44026</v>
      </c>
      <c r="E631" s="148"/>
      <c r="F631" s="14">
        <v>1503</v>
      </c>
      <c r="G631" s="33" t="s">
        <v>553</v>
      </c>
      <c r="H631" s="64">
        <v>700</v>
      </c>
      <c r="I631" s="64"/>
      <c r="J631" s="64">
        <f>+'INVENTARIO ENERO-MARZO 2021'!$H631-'INVENTARIO ENERO-MARZO 2021'!$I631</f>
        <v>700</v>
      </c>
      <c r="K631" s="64"/>
      <c r="L631" s="64"/>
      <c r="M631" s="64"/>
      <c r="N631" s="64"/>
      <c r="O631" s="64">
        <f>+Tabla1[[#This Row],[STOCK    FISICO ENERO 2021]]-Tabla1[[#This Row],[REQUISICIONES FEBRERO 2021]]</f>
        <v>700</v>
      </c>
      <c r="P631" s="64">
        <f>+Tabla1[[#This Row],[STOCK  FEBRERO 2021]]-Tabla1[[#This Row],[REQUISICIONES MARZO 2021]]+Tabla1[[#This Row],[ENTRADAS MARZO 2021]]</f>
        <v>700</v>
      </c>
      <c r="Q631" s="31" t="s">
        <v>12</v>
      </c>
      <c r="R631" s="35">
        <v>2.1800000000000002</v>
      </c>
      <c r="S631" s="36">
        <f t="shared" ref="S631:S636" si="26">R631*0.18+R631</f>
        <v>2.5724</v>
      </c>
      <c r="T631" s="100">
        <f>Tabla1[[#This Row],[STOCK MARZO ]]*Tabla1[[#This Row],[COSTO UNITARIO SIN ITBIS]]</f>
        <v>1526</v>
      </c>
    </row>
    <row r="632" spans="1:20" s="21" customFormat="1" x14ac:dyDescent="0.25">
      <c r="A632" s="98">
        <v>23</v>
      </c>
      <c r="B632" s="76">
        <v>44027</v>
      </c>
      <c r="C632" s="29" t="s">
        <v>11</v>
      </c>
      <c r="D632" s="76">
        <v>44027</v>
      </c>
      <c r="E632" s="156"/>
      <c r="F632" s="29">
        <v>1434</v>
      </c>
      <c r="G632" s="77" t="s">
        <v>554</v>
      </c>
      <c r="H632" s="74">
        <v>400</v>
      </c>
      <c r="I632" s="74"/>
      <c r="J632" s="74">
        <f>+'INVENTARIO ENERO-MARZO 2021'!$H632-'INVENTARIO ENERO-MARZO 2021'!$I632</f>
        <v>400</v>
      </c>
      <c r="K632" s="74"/>
      <c r="L632" s="74"/>
      <c r="M632" s="74"/>
      <c r="N632" s="74"/>
      <c r="O632" s="74">
        <f>+Tabla1[[#This Row],[STOCK    FISICO ENERO 2021]]-Tabla1[[#This Row],[REQUISICIONES FEBRERO 2021]]</f>
        <v>400</v>
      </c>
      <c r="P632" s="74">
        <f>+Tabla1[[#This Row],[STOCK  FEBRERO 2021]]-Tabla1[[#This Row],[REQUISICIONES MARZO 2021]]+Tabla1[[#This Row],[ENTRADAS MARZO 2021]]</f>
        <v>400</v>
      </c>
      <c r="Q632" s="75" t="s">
        <v>12</v>
      </c>
      <c r="R632" s="78">
        <v>1.8</v>
      </c>
      <c r="S632" s="36">
        <f t="shared" si="26"/>
        <v>2.1240000000000001</v>
      </c>
      <c r="T632" s="100">
        <f>Tabla1[[#This Row],[STOCK MARZO ]]*Tabla1[[#This Row],[COSTO UNITARIO SIN ITBIS]]</f>
        <v>720</v>
      </c>
    </row>
    <row r="633" spans="1:20" s="9" customFormat="1" x14ac:dyDescent="0.25">
      <c r="A633" s="98">
        <v>24</v>
      </c>
      <c r="B633" s="32">
        <v>44027</v>
      </c>
      <c r="C633" s="29" t="s">
        <v>11</v>
      </c>
      <c r="D633" s="32">
        <v>44027</v>
      </c>
      <c r="E633" s="148"/>
      <c r="F633" s="29">
        <v>1523</v>
      </c>
      <c r="G633" s="33" t="s">
        <v>555</v>
      </c>
      <c r="H633" s="64">
        <v>400</v>
      </c>
      <c r="I633" s="64"/>
      <c r="J633" s="64">
        <f>+'INVENTARIO ENERO-MARZO 2021'!$H633-'INVENTARIO ENERO-MARZO 2021'!$I633</f>
        <v>400</v>
      </c>
      <c r="K633" s="64"/>
      <c r="L633" s="64"/>
      <c r="M633" s="64"/>
      <c r="N633" s="64"/>
      <c r="O633" s="64">
        <f>+Tabla1[[#This Row],[STOCK    FISICO ENERO 2021]]-Tabla1[[#This Row],[REQUISICIONES FEBRERO 2021]]</f>
        <v>400</v>
      </c>
      <c r="P633" s="64">
        <f>+Tabla1[[#This Row],[STOCK  FEBRERO 2021]]-Tabla1[[#This Row],[REQUISICIONES MARZO 2021]]+Tabla1[[#This Row],[ENTRADAS MARZO 2021]]</f>
        <v>400</v>
      </c>
      <c r="Q633" s="31" t="s">
        <v>12</v>
      </c>
      <c r="R633" s="35">
        <v>1.8</v>
      </c>
      <c r="S633" s="36">
        <f t="shared" si="26"/>
        <v>2.1240000000000001</v>
      </c>
      <c r="T633" s="100">
        <f>Tabla1[[#This Row],[STOCK MARZO ]]*Tabla1[[#This Row],[COSTO UNITARIO SIN ITBIS]]</f>
        <v>720</v>
      </c>
    </row>
    <row r="634" spans="1:20" s="9" customFormat="1" x14ac:dyDescent="0.25">
      <c r="A634" s="98">
        <v>25</v>
      </c>
      <c r="B634" s="76">
        <v>43089</v>
      </c>
      <c r="C634" s="29" t="s">
        <v>11</v>
      </c>
      <c r="D634" s="76">
        <v>43089</v>
      </c>
      <c r="E634" s="156"/>
      <c r="F634" s="14">
        <v>1524</v>
      </c>
      <c r="G634" s="33" t="s">
        <v>556</v>
      </c>
      <c r="H634" s="64">
        <v>150</v>
      </c>
      <c r="I634" s="64"/>
      <c r="J634" s="64">
        <f>+'INVENTARIO ENERO-MARZO 2021'!$H634-'INVENTARIO ENERO-MARZO 2021'!$I634</f>
        <v>150</v>
      </c>
      <c r="K634" s="64"/>
      <c r="L634" s="64"/>
      <c r="M634" s="64"/>
      <c r="N634" s="64"/>
      <c r="O634" s="64">
        <f>+Tabla1[[#This Row],[STOCK    FISICO ENERO 2021]]-Tabla1[[#This Row],[REQUISICIONES FEBRERO 2021]]</f>
        <v>150</v>
      </c>
      <c r="P634" s="64">
        <f>+Tabla1[[#This Row],[STOCK  FEBRERO 2021]]-Tabla1[[#This Row],[REQUISICIONES MARZO 2021]]+Tabla1[[#This Row],[ENTRADAS MARZO 2021]]</f>
        <v>150</v>
      </c>
      <c r="Q634" s="31" t="s">
        <v>12</v>
      </c>
      <c r="R634" s="35">
        <v>42.71</v>
      </c>
      <c r="S634" s="36">
        <f t="shared" si="26"/>
        <v>50.397800000000004</v>
      </c>
      <c r="T634" s="100">
        <f>Tabla1[[#This Row],[STOCK MARZO ]]*Tabla1[[#This Row],[COSTO UNITARIO SIN ITBIS]]</f>
        <v>6406.5</v>
      </c>
    </row>
    <row r="635" spans="1:20" s="9" customFormat="1" x14ac:dyDescent="0.25">
      <c r="A635" s="98">
        <v>26</v>
      </c>
      <c r="B635" s="32">
        <v>44028</v>
      </c>
      <c r="C635" s="29" t="s">
        <v>11</v>
      </c>
      <c r="D635" s="32">
        <v>44028</v>
      </c>
      <c r="E635" s="148"/>
      <c r="F635" s="29">
        <v>1525</v>
      </c>
      <c r="G635" s="77" t="s">
        <v>557</v>
      </c>
      <c r="H635" s="74">
        <v>0</v>
      </c>
      <c r="I635" s="74"/>
      <c r="J635" s="74">
        <f>+'INVENTARIO ENERO-MARZO 2021'!$H635-'INVENTARIO ENERO-MARZO 2021'!$I635</f>
        <v>0</v>
      </c>
      <c r="K635" s="74"/>
      <c r="L635" s="74"/>
      <c r="M635" s="74"/>
      <c r="N635" s="74"/>
      <c r="O635" s="74">
        <f>+Tabla1[[#This Row],[STOCK    FISICO ENERO 2021]]-Tabla1[[#This Row],[REQUISICIONES FEBRERO 2021]]</f>
        <v>0</v>
      </c>
      <c r="P635" s="74">
        <f>+Tabla1[[#This Row],[STOCK  FEBRERO 2021]]-Tabla1[[#This Row],[REQUISICIONES MARZO 2021]]+Tabla1[[#This Row],[ENTRADAS MARZO 2021]]</f>
        <v>0</v>
      </c>
      <c r="Q635" s="31" t="s">
        <v>12</v>
      </c>
      <c r="R635" s="78">
        <v>42.71</v>
      </c>
      <c r="S635" s="36">
        <f t="shared" si="26"/>
        <v>50.397800000000004</v>
      </c>
      <c r="T635" s="100">
        <f>Tabla1[[#This Row],[STOCK MARZO ]]*Tabla1[[#This Row],[COSTO UNITARIO SIN ITBIS]]</f>
        <v>0</v>
      </c>
    </row>
    <row r="636" spans="1:20" s="9" customFormat="1" x14ac:dyDescent="0.25">
      <c r="A636" s="98">
        <v>27</v>
      </c>
      <c r="B636" s="76">
        <v>43223</v>
      </c>
      <c r="C636" s="29" t="s">
        <v>11</v>
      </c>
      <c r="D636" s="76">
        <v>43223</v>
      </c>
      <c r="E636" s="156"/>
      <c r="F636" s="14">
        <v>1728</v>
      </c>
      <c r="G636" s="33" t="s">
        <v>558</v>
      </c>
      <c r="H636" s="64">
        <v>500</v>
      </c>
      <c r="I636" s="64"/>
      <c r="J636" s="64">
        <f>+'INVENTARIO ENERO-MARZO 2021'!$H636-'INVENTARIO ENERO-MARZO 2021'!$I636</f>
        <v>500</v>
      </c>
      <c r="K636" s="64"/>
      <c r="L636" s="64"/>
      <c r="M636" s="64"/>
      <c r="N636" s="64"/>
      <c r="O636" s="64">
        <f>+Tabla1[[#This Row],[STOCK    FISICO ENERO 2021]]-Tabla1[[#This Row],[REQUISICIONES FEBRERO 2021]]</f>
        <v>500</v>
      </c>
      <c r="P636" s="64">
        <f>+Tabla1[[#This Row],[STOCK  FEBRERO 2021]]-Tabla1[[#This Row],[REQUISICIONES MARZO 2021]]+Tabla1[[#This Row],[ENTRADAS MARZO 2021]]</f>
        <v>500</v>
      </c>
      <c r="Q636" s="31" t="s">
        <v>12</v>
      </c>
      <c r="R636" s="35">
        <v>42.71</v>
      </c>
      <c r="S636" s="36">
        <f t="shared" si="26"/>
        <v>50.397800000000004</v>
      </c>
      <c r="T636" s="100">
        <f>Tabla1[[#This Row],[STOCK MARZO ]]*Tabla1[[#This Row],[COSTO UNITARIO SIN ITBIS]]</f>
        <v>21355</v>
      </c>
    </row>
    <row r="637" spans="1:20" s="9" customFormat="1" x14ac:dyDescent="0.25">
      <c r="A637" s="98">
        <v>28</v>
      </c>
      <c r="B637" s="32"/>
      <c r="C637" s="29" t="s">
        <v>11</v>
      </c>
      <c r="D637" s="32"/>
      <c r="E637" s="148"/>
      <c r="F637" s="14"/>
      <c r="G637" s="33" t="s">
        <v>738</v>
      </c>
      <c r="H637" s="64">
        <v>50</v>
      </c>
      <c r="I637" s="64"/>
      <c r="J637" s="64">
        <f>+'INVENTARIO ENERO-MARZO 2021'!$H637-'INVENTARIO ENERO-MARZO 2021'!$I637</f>
        <v>50</v>
      </c>
      <c r="K637" s="64"/>
      <c r="L637" s="64"/>
      <c r="M637" s="64">
        <v>3</v>
      </c>
      <c r="N637" s="64"/>
      <c r="O637" s="64">
        <f>+Tabla1[[#This Row],[STOCK    FISICO ENERO 2021]]-Tabla1[[#This Row],[REQUISICIONES FEBRERO 2021]]</f>
        <v>47</v>
      </c>
      <c r="P637" s="64">
        <f>+Tabla1[[#This Row],[STOCK  FEBRERO 2021]]-Tabla1[[#This Row],[REQUISICIONES MARZO 2021]]+Tabla1[[#This Row],[ENTRADAS MARZO 2021]]</f>
        <v>47</v>
      </c>
      <c r="Q637" s="31" t="s">
        <v>12</v>
      </c>
      <c r="R637" s="35"/>
      <c r="S637" s="36"/>
      <c r="T637" s="100">
        <f>Tabla1[[#This Row],[STOCK MARZO ]]*Tabla1[[#This Row],[COSTO UNITARIO SIN ITBIS]]</f>
        <v>0</v>
      </c>
    </row>
    <row r="638" spans="1:20" s="9" customFormat="1" x14ac:dyDescent="0.25">
      <c r="A638" s="98">
        <v>29</v>
      </c>
      <c r="B638" s="32"/>
      <c r="C638" s="29" t="s">
        <v>11</v>
      </c>
      <c r="D638" s="32"/>
      <c r="E638" s="148"/>
      <c r="F638" s="14"/>
      <c r="G638" s="33" t="s">
        <v>737</v>
      </c>
      <c r="H638" s="64">
        <v>50</v>
      </c>
      <c r="I638" s="64"/>
      <c r="J638" s="64">
        <f>+'INVENTARIO ENERO-MARZO 2021'!$H638-'INVENTARIO ENERO-MARZO 2021'!$I638</f>
        <v>50</v>
      </c>
      <c r="K638" s="64"/>
      <c r="L638" s="64"/>
      <c r="M638" s="64"/>
      <c r="N638" s="64"/>
      <c r="O638" s="64">
        <f>+Tabla1[[#This Row],[STOCK    FISICO ENERO 2021]]-Tabla1[[#This Row],[REQUISICIONES FEBRERO 2021]]</f>
        <v>50</v>
      </c>
      <c r="P638" s="64">
        <f>+Tabla1[[#This Row],[STOCK  FEBRERO 2021]]-Tabla1[[#This Row],[REQUISICIONES MARZO 2021]]+Tabla1[[#This Row],[ENTRADAS MARZO 2021]]</f>
        <v>50</v>
      </c>
      <c r="Q638" s="31" t="s">
        <v>12</v>
      </c>
      <c r="R638" s="35"/>
      <c r="S638" s="36"/>
      <c r="T638" s="100">
        <f>Tabla1[[#This Row],[STOCK MARZO ]]*Tabla1[[#This Row],[COSTO UNITARIO SIN ITBIS]]</f>
        <v>0</v>
      </c>
    </row>
    <row r="639" spans="1:20" s="9" customFormat="1" x14ac:dyDescent="0.25">
      <c r="A639" s="98">
        <v>30</v>
      </c>
      <c r="B639" s="32">
        <v>43453</v>
      </c>
      <c r="C639" s="29" t="s">
        <v>11</v>
      </c>
      <c r="D639" s="32">
        <v>43453</v>
      </c>
      <c r="E639" s="148"/>
      <c r="F639" s="29">
        <v>1565</v>
      </c>
      <c r="G639" s="77" t="s">
        <v>559</v>
      </c>
      <c r="H639" s="74">
        <v>8</v>
      </c>
      <c r="I639" s="74"/>
      <c r="J639" s="74">
        <f>+'INVENTARIO ENERO-MARZO 2021'!$H639-'INVENTARIO ENERO-MARZO 2021'!$I639</f>
        <v>8</v>
      </c>
      <c r="K639" s="74"/>
      <c r="L639" s="74"/>
      <c r="M639" s="74"/>
      <c r="N639" s="74"/>
      <c r="O639" s="74">
        <f>+Tabla1[[#This Row],[STOCK    FISICO ENERO 2021]]-Tabla1[[#This Row],[REQUISICIONES FEBRERO 2021]]</f>
        <v>8</v>
      </c>
      <c r="P639" s="74">
        <f>+Tabla1[[#This Row],[STOCK  FEBRERO 2021]]-Tabla1[[#This Row],[REQUISICIONES MARZO 2021]]+Tabla1[[#This Row],[ENTRADAS MARZO 2021]]</f>
        <v>8</v>
      </c>
      <c r="Q639" s="75" t="s">
        <v>12</v>
      </c>
      <c r="R639" s="78">
        <v>10.16</v>
      </c>
      <c r="S639" s="36">
        <f>R639*0.18+R639</f>
        <v>11.988799999999999</v>
      </c>
      <c r="T639" s="100">
        <f>Tabla1[[#This Row],[STOCK MARZO ]]*Tabla1[[#This Row],[COSTO UNITARIO SIN ITBIS]]</f>
        <v>81.28</v>
      </c>
    </row>
    <row r="640" spans="1:20" s="9" customFormat="1" x14ac:dyDescent="0.25">
      <c r="A640" s="98">
        <v>31</v>
      </c>
      <c r="B640" s="76">
        <v>43664</v>
      </c>
      <c r="C640" s="29" t="s">
        <v>11</v>
      </c>
      <c r="D640" s="76">
        <v>43767</v>
      </c>
      <c r="E640" s="156"/>
      <c r="F640" s="14">
        <v>1071</v>
      </c>
      <c r="G640" s="33" t="s">
        <v>560</v>
      </c>
      <c r="H640" s="64">
        <v>4</v>
      </c>
      <c r="I640" s="64"/>
      <c r="J640" s="64">
        <f>+'INVENTARIO ENERO-MARZO 2021'!$H640-'INVENTARIO ENERO-MARZO 2021'!$I640</f>
        <v>4</v>
      </c>
      <c r="K640" s="64"/>
      <c r="L640" s="64"/>
      <c r="M640" s="64"/>
      <c r="N640" s="64">
        <v>1</v>
      </c>
      <c r="O640" s="64">
        <f>+Tabla1[[#This Row],[STOCK    FISICO ENERO 2021]]-Tabla1[[#This Row],[REQUISICIONES FEBRERO 2021]]</f>
        <v>4</v>
      </c>
      <c r="P640" s="64">
        <f>+Tabla1[[#This Row],[STOCK  FEBRERO 2021]]-Tabla1[[#This Row],[REQUISICIONES MARZO 2021]]+Tabla1[[#This Row],[ENTRADAS MARZO 2021]]</f>
        <v>3</v>
      </c>
      <c r="Q640" s="31" t="s">
        <v>12</v>
      </c>
      <c r="R640" s="35">
        <v>1077.3</v>
      </c>
      <c r="S640" s="36">
        <f>R640*0.18+R640</f>
        <v>1271.2139999999999</v>
      </c>
      <c r="T640" s="100">
        <f>Tabla1[[#This Row],[STOCK MARZO ]]*Tabla1[[#This Row],[COSTO UNITARIO SIN ITBIS]]</f>
        <v>3231.8999999999996</v>
      </c>
    </row>
    <row r="641" spans="1:20" s="9" customFormat="1" x14ac:dyDescent="0.25">
      <c r="A641" s="98">
        <v>32</v>
      </c>
      <c r="B641" s="32">
        <v>44026</v>
      </c>
      <c r="C641" s="29" t="s">
        <v>11</v>
      </c>
      <c r="D641" s="32">
        <v>44026</v>
      </c>
      <c r="E641" s="148"/>
      <c r="F641" s="29" t="s">
        <v>23</v>
      </c>
      <c r="G641" s="77" t="s">
        <v>561</v>
      </c>
      <c r="H641" s="74">
        <v>16</v>
      </c>
      <c r="I641" s="74"/>
      <c r="J641" s="74">
        <f>+'INVENTARIO ENERO-MARZO 2021'!$H641-'INVENTARIO ENERO-MARZO 2021'!$I641</f>
        <v>16</v>
      </c>
      <c r="K641" s="74"/>
      <c r="L641" s="74"/>
      <c r="M641" s="74"/>
      <c r="N641" s="74"/>
      <c r="O641" s="74">
        <f>+Tabla1[[#This Row],[STOCK    FISICO ENERO 2021]]-Tabla1[[#This Row],[REQUISICIONES FEBRERO 2021]]</f>
        <v>16</v>
      </c>
      <c r="P641" s="74">
        <f>+Tabla1[[#This Row],[STOCK  FEBRERO 2021]]-Tabla1[[#This Row],[REQUISICIONES MARZO 2021]]+Tabla1[[#This Row],[ENTRADAS MARZO 2021]]</f>
        <v>16</v>
      </c>
      <c r="Q641" s="31" t="s">
        <v>12</v>
      </c>
      <c r="R641" s="78">
        <v>205.8</v>
      </c>
      <c r="S641" s="36">
        <f>R641*0.18+R641</f>
        <v>242.84400000000002</v>
      </c>
      <c r="T641" s="100">
        <f>Tabla1[[#This Row],[STOCK MARZO ]]*Tabla1[[#This Row],[COSTO UNITARIO SIN ITBIS]]</f>
        <v>3292.8</v>
      </c>
    </row>
    <row r="642" spans="1:20" s="9" customFormat="1" x14ac:dyDescent="0.25">
      <c r="A642" s="98">
        <v>33</v>
      </c>
      <c r="B642" s="76">
        <v>44027</v>
      </c>
      <c r="C642" s="29" t="s">
        <v>11</v>
      </c>
      <c r="D642" s="76">
        <v>44027</v>
      </c>
      <c r="E642" s="156"/>
      <c r="F642" s="14">
        <v>1557</v>
      </c>
      <c r="G642" s="33" t="s">
        <v>562</v>
      </c>
      <c r="H642" s="64">
        <v>42</v>
      </c>
      <c r="I642" s="64"/>
      <c r="J642" s="64">
        <f>+'INVENTARIO ENERO-MARZO 2021'!$H642-'INVENTARIO ENERO-MARZO 2021'!$I642</f>
        <v>42</v>
      </c>
      <c r="K642" s="64"/>
      <c r="L642" s="64"/>
      <c r="M642" s="64"/>
      <c r="N642" s="64"/>
      <c r="O642" s="64">
        <f>+Tabla1[[#This Row],[STOCK    FISICO ENERO 2021]]-Tabla1[[#This Row],[REQUISICIONES FEBRERO 2021]]</f>
        <v>42</v>
      </c>
      <c r="P642" s="64">
        <f>+Tabla1[[#This Row],[STOCK  FEBRERO 2021]]-Tabla1[[#This Row],[REQUISICIONES MARZO 2021]]+Tabla1[[#This Row],[ENTRADAS MARZO 2021]]</f>
        <v>42</v>
      </c>
      <c r="Q642" s="31" t="s">
        <v>12</v>
      </c>
      <c r="R642" s="35">
        <v>254.23</v>
      </c>
      <c r="S642" s="36">
        <f>R642*0.18+R642</f>
        <v>299.9914</v>
      </c>
      <c r="T642" s="100">
        <f>Tabla1[[#This Row],[STOCK MARZO ]]*Tabla1[[#This Row],[COSTO UNITARIO SIN ITBIS]]</f>
        <v>10677.66</v>
      </c>
    </row>
    <row r="643" spans="1:20" s="9" customFormat="1" x14ac:dyDescent="0.25">
      <c r="A643" s="98">
        <v>34</v>
      </c>
      <c r="B643" s="32">
        <v>44026</v>
      </c>
      <c r="C643" s="29" t="s">
        <v>11</v>
      </c>
      <c r="D643" s="32">
        <v>44026</v>
      </c>
      <c r="E643" s="148"/>
      <c r="F643" s="29">
        <v>1079</v>
      </c>
      <c r="G643" s="77" t="s">
        <v>563</v>
      </c>
      <c r="H643" s="74">
        <v>37</v>
      </c>
      <c r="I643" s="74"/>
      <c r="J643" s="74">
        <f>+'INVENTARIO ENERO-MARZO 2021'!$H643-'INVENTARIO ENERO-MARZO 2021'!$I643</f>
        <v>37</v>
      </c>
      <c r="K643" s="74"/>
      <c r="L643" s="74"/>
      <c r="M643" s="74"/>
      <c r="N643" s="74">
        <v>2</v>
      </c>
      <c r="O643" s="74">
        <f>+Tabla1[[#This Row],[STOCK    FISICO ENERO 2021]]-Tabla1[[#This Row],[REQUISICIONES FEBRERO 2021]]</f>
        <v>37</v>
      </c>
      <c r="P643" s="74">
        <f>+Tabla1[[#This Row],[STOCK  FEBRERO 2021]]-Tabla1[[#This Row],[REQUISICIONES MARZO 2021]]+Tabla1[[#This Row],[ENTRADAS MARZO 2021]]</f>
        <v>35</v>
      </c>
      <c r="Q643" s="75" t="s">
        <v>112</v>
      </c>
      <c r="R643" s="78">
        <v>30.51</v>
      </c>
      <c r="S643" s="36">
        <f>R643*0.18+R643</f>
        <v>36.001800000000003</v>
      </c>
      <c r="T643" s="100">
        <f>Tabla1[[#This Row],[STOCK MARZO ]]*Tabla1[[#This Row],[COSTO UNITARIO SIN ITBIS]]</f>
        <v>1067.8500000000001</v>
      </c>
    </row>
    <row r="644" spans="1:20" s="9" customFormat="1" x14ac:dyDescent="0.25">
      <c r="A644" s="98">
        <v>35</v>
      </c>
      <c r="B644" s="32"/>
      <c r="C644" s="29" t="s">
        <v>11</v>
      </c>
      <c r="D644" s="32"/>
      <c r="E644" s="148"/>
      <c r="F644" s="14"/>
      <c r="G644" s="33" t="s">
        <v>713</v>
      </c>
      <c r="H644" s="64">
        <v>10</v>
      </c>
      <c r="I644" s="64"/>
      <c r="J644" s="64">
        <f>+'INVENTARIO ENERO-MARZO 2021'!$H644-'INVENTARIO ENERO-MARZO 2021'!$I644</f>
        <v>10</v>
      </c>
      <c r="K644" s="64"/>
      <c r="L644" s="64"/>
      <c r="M644" s="64"/>
      <c r="N644" s="64"/>
      <c r="O644" s="64">
        <f>+Tabla1[[#This Row],[STOCK    FISICO ENERO 2021]]-Tabla1[[#This Row],[REQUISICIONES FEBRERO 2021]]</f>
        <v>10</v>
      </c>
      <c r="P644" s="64">
        <f>+Tabla1[[#This Row],[STOCK  FEBRERO 2021]]-Tabla1[[#This Row],[REQUISICIONES MARZO 2021]]+Tabla1[[#This Row],[ENTRADAS MARZO 2021]]</f>
        <v>10</v>
      </c>
      <c r="Q644" s="75" t="s">
        <v>112</v>
      </c>
      <c r="R644" s="35"/>
      <c r="S644" s="36"/>
      <c r="T644" s="100">
        <f>Tabla1[[#This Row],[STOCK MARZO ]]*Tabla1[[#This Row],[COSTO UNITARIO SIN ITBIS]]</f>
        <v>0</v>
      </c>
    </row>
    <row r="645" spans="1:20" s="9" customFormat="1" x14ac:dyDescent="0.25">
      <c r="A645" s="98">
        <v>36</v>
      </c>
      <c r="B645" s="32">
        <v>43636</v>
      </c>
      <c r="C645" s="29" t="s">
        <v>11</v>
      </c>
      <c r="D645" s="32">
        <v>43633</v>
      </c>
      <c r="E645" s="148"/>
      <c r="F645" s="29">
        <v>1082</v>
      </c>
      <c r="G645" s="77" t="s">
        <v>564</v>
      </c>
      <c r="H645" s="74">
        <v>2</v>
      </c>
      <c r="I645" s="74"/>
      <c r="J645" s="74">
        <f>+'INVENTARIO ENERO-MARZO 2021'!$H645-'INVENTARIO ENERO-MARZO 2021'!$I645</f>
        <v>2</v>
      </c>
      <c r="K645" s="74"/>
      <c r="L645" s="74"/>
      <c r="M645" s="74"/>
      <c r="N645" s="74"/>
      <c r="O645" s="74">
        <f>+Tabla1[[#This Row],[STOCK    FISICO ENERO 2021]]-Tabla1[[#This Row],[REQUISICIONES FEBRERO 2021]]</f>
        <v>2</v>
      </c>
      <c r="P645" s="74">
        <f>+Tabla1[[#This Row],[STOCK  FEBRERO 2021]]-Tabla1[[#This Row],[REQUISICIONES MARZO 2021]]+Tabla1[[#This Row],[ENTRADAS MARZO 2021]]</f>
        <v>2</v>
      </c>
      <c r="Q645" s="75" t="s">
        <v>112</v>
      </c>
      <c r="R645" s="78">
        <v>0</v>
      </c>
      <c r="S645" s="36">
        <f t="shared" ref="S645:S656" si="27">R645*0.18+R645</f>
        <v>0</v>
      </c>
      <c r="T645" s="100">
        <f>Tabla1[[#This Row],[STOCK MARZO ]]*Tabla1[[#This Row],[COSTO UNITARIO SIN ITBIS]]</f>
        <v>0</v>
      </c>
    </row>
    <row r="646" spans="1:20" s="9" customFormat="1" x14ac:dyDescent="0.25">
      <c r="A646" s="98">
        <v>37</v>
      </c>
      <c r="B646" s="76">
        <v>44110</v>
      </c>
      <c r="C646" s="29" t="s">
        <v>11</v>
      </c>
      <c r="D646" s="76">
        <v>44110</v>
      </c>
      <c r="E646" s="156"/>
      <c r="F646" s="14">
        <v>1081</v>
      </c>
      <c r="G646" s="33" t="s">
        <v>565</v>
      </c>
      <c r="H646" s="64">
        <v>0</v>
      </c>
      <c r="I646" s="64"/>
      <c r="J646" s="64">
        <f>+'INVENTARIO ENERO-MARZO 2021'!$H646-'INVENTARIO ENERO-MARZO 2021'!$I646</f>
        <v>0</v>
      </c>
      <c r="K646" s="64"/>
      <c r="L646" s="64"/>
      <c r="M646" s="64"/>
      <c r="N646" s="64"/>
      <c r="O646" s="64">
        <f>+Tabla1[[#This Row],[STOCK    FISICO ENERO 2021]]-Tabla1[[#This Row],[REQUISICIONES FEBRERO 2021]]</f>
        <v>0</v>
      </c>
      <c r="P646" s="64">
        <f>+Tabla1[[#This Row],[STOCK  FEBRERO 2021]]-Tabla1[[#This Row],[REQUISICIONES MARZO 2021]]+Tabla1[[#This Row],[ENTRADAS MARZO 2021]]</f>
        <v>0</v>
      </c>
      <c r="Q646" s="31" t="s">
        <v>12</v>
      </c>
      <c r="R646" s="35">
        <v>88.5</v>
      </c>
      <c r="S646" s="36">
        <f t="shared" si="27"/>
        <v>104.43</v>
      </c>
      <c r="T646" s="100">
        <f>Tabla1[[#This Row],[STOCK MARZO ]]*Tabla1[[#This Row],[COSTO UNITARIO SIN ITBIS]]</f>
        <v>0</v>
      </c>
    </row>
    <row r="647" spans="1:20" s="9" customFormat="1" x14ac:dyDescent="0.25">
      <c r="A647" s="98">
        <v>38</v>
      </c>
      <c r="B647" s="32"/>
      <c r="C647" s="29" t="s">
        <v>11</v>
      </c>
      <c r="D647" s="32"/>
      <c r="E647" s="148"/>
      <c r="F647" s="29">
        <v>1307</v>
      </c>
      <c r="G647" s="77" t="s">
        <v>566</v>
      </c>
      <c r="H647" s="74">
        <v>0</v>
      </c>
      <c r="I647" s="74"/>
      <c r="J647" s="74">
        <f>+'INVENTARIO ENERO-MARZO 2021'!$H647-'INVENTARIO ENERO-MARZO 2021'!$I647</f>
        <v>0</v>
      </c>
      <c r="K647" s="74"/>
      <c r="L647" s="74"/>
      <c r="M647" s="74"/>
      <c r="N647" s="74"/>
      <c r="O647" s="74">
        <f>+Tabla1[[#This Row],[STOCK    FISICO ENERO 2021]]-Tabla1[[#This Row],[REQUISICIONES FEBRERO 2021]]</f>
        <v>0</v>
      </c>
      <c r="P647" s="74">
        <f>+Tabla1[[#This Row],[STOCK  FEBRERO 2021]]-Tabla1[[#This Row],[REQUISICIONES MARZO 2021]]+Tabla1[[#This Row],[ENTRADAS MARZO 2021]]</f>
        <v>0</v>
      </c>
      <c r="Q647" s="75" t="s">
        <v>12</v>
      </c>
      <c r="R647" s="78">
        <v>0</v>
      </c>
      <c r="S647" s="36">
        <f t="shared" si="27"/>
        <v>0</v>
      </c>
      <c r="T647" s="100">
        <f>Tabla1[[#This Row],[STOCK MARZO ]]*Tabla1[[#This Row],[COSTO UNITARIO SIN ITBIS]]</f>
        <v>0</v>
      </c>
    </row>
    <row r="648" spans="1:20" s="9" customFormat="1" x14ac:dyDescent="0.25">
      <c r="A648" s="98">
        <v>39</v>
      </c>
      <c r="B648" s="76">
        <v>44168</v>
      </c>
      <c r="C648" s="29" t="s">
        <v>11</v>
      </c>
      <c r="D648" s="76">
        <v>44152</v>
      </c>
      <c r="E648" s="156"/>
      <c r="F648" s="29"/>
      <c r="G648" s="33" t="s">
        <v>567</v>
      </c>
      <c r="H648" s="64">
        <v>4</v>
      </c>
      <c r="I648" s="64"/>
      <c r="J648" s="64">
        <f>+'INVENTARIO ENERO-MARZO 2021'!$H648-'INVENTARIO ENERO-MARZO 2021'!$I648</f>
        <v>4</v>
      </c>
      <c r="K648" s="64"/>
      <c r="L648" s="64"/>
      <c r="M648" s="64"/>
      <c r="N648" s="64"/>
      <c r="O648" s="64">
        <f>+Tabla1[[#This Row],[STOCK    FISICO ENERO 2021]]-Tabla1[[#This Row],[REQUISICIONES FEBRERO 2021]]</f>
        <v>4</v>
      </c>
      <c r="P648" s="64">
        <f>+Tabla1[[#This Row],[STOCK  FEBRERO 2021]]-Tabla1[[#This Row],[REQUISICIONES MARZO 2021]]+Tabla1[[#This Row],[ENTRADAS MARZO 2021]]</f>
        <v>4</v>
      </c>
      <c r="Q648" s="31" t="s">
        <v>112</v>
      </c>
      <c r="R648" s="35">
        <v>275</v>
      </c>
      <c r="S648" s="36">
        <f t="shared" si="27"/>
        <v>324.5</v>
      </c>
      <c r="T648" s="100">
        <f>Tabla1[[#This Row],[STOCK MARZO ]]*Tabla1[[#This Row],[COSTO UNITARIO SIN ITBIS]]</f>
        <v>1100</v>
      </c>
    </row>
    <row r="649" spans="1:20" s="9" customFormat="1" x14ac:dyDescent="0.25">
      <c r="A649" s="98">
        <v>40</v>
      </c>
      <c r="B649" s="32">
        <v>43636</v>
      </c>
      <c r="C649" s="29" t="s">
        <v>11</v>
      </c>
      <c r="D649" s="32">
        <v>43633</v>
      </c>
      <c r="E649" s="148"/>
      <c r="F649" s="29">
        <v>1440</v>
      </c>
      <c r="G649" s="33" t="s">
        <v>568</v>
      </c>
      <c r="H649" s="64">
        <v>5</v>
      </c>
      <c r="I649" s="64"/>
      <c r="J649" s="64">
        <f>+'INVENTARIO ENERO-MARZO 2021'!$H649-'INVENTARIO ENERO-MARZO 2021'!$I649</f>
        <v>5</v>
      </c>
      <c r="K649" s="64"/>
      <c r="L649" s="64"/>
      <c r="M649" s="64"/>
      <c r="N649" s="64">
        <v>1</v>
      </c>
      <c r="O649" s="64">
        <f>+Tabla1[[#This Row],[STOCK    FISICO ENERO 2021]]-Tabla1[[#This Row],[REQUISICIONES FEBRERO 2021]]</f>
        <v>5</v>
      </c>
      <c r="P649" s="64">
        <f>+Tabla1[[#This Row],[STOCK  FEBRERO 2021]]-Tabla1[[#This Row],[REQUISICIONES MARZO 2021]]+Tabla1[[#This Row],[ENTRADAS MARZO 2021]]</f>
        <v>4</v>
      </c>
      <c r="Q649" s="31" t="s">
        <v>112</v>
      </c>
      <c r="R649" s="35">
        <v>275</v>
      </c>
      <c r="S649" s="36">
        <f t="shared" si="27"/>
        <v>324.5</v>
      </c>
      <c r="T649" s="100">
        <f>Tabla1[[#This Row],[STOCK MARZO ]]*Tabla1[[#This Row],[COSTO UNITARIO SIN ITBIS]]</f>
        <v>1100</v>
      </c>
    </row>
    <row r="650" spans="1:20" s="9" customFormat="1" x14ac:dyDescent="0.25">
      <c r="A650" s="98">
        <v>41</v>
      </c>
      <c r="B650" s="76">
        <v>43223</v>
      </c>
      <c r="C650" s="29" t="s">
        <v>11</v>
      </c>
      <c r="D650" s="76">
        <v>43223</v>
      </c>
      <c r="E650" s="156"/>
      <c r="F650" s="81"/>
      <c r="G650" s="77" t="s">
        <v>710</v>
      </c>
      <c r="H650" s="74">
        <v>5</v>
      </c>
      <c r="I650" s="74"/>
      <c r="J650" s="74">
        <f>+'INVENTARIO ENERO-MARZO 2021'!$H650-'INVENTARIO ENERO-MARZO 2021'!$I650</f>
        <v>5</v>
      </c>
      <c r="K650" s="74"/>
      <c r="L650" s="74"/>
      <c r="M650" s="74"/>
      <c r="N650" s="74"/>
      <c r="O650" s="74">
        <f>+Tabla1[[#This Row],[STOCK    FISICO ENERO 2021]]-Tabla1[[#This Row],[REQUISICIONES FEBRERO 2021]]</f>
        <v>5</v>
      </c>
      <c r="P650" s="74">
        <f>+Tabla1[[#This Row],[STOCK  FEBRERO 2021]]-Tabla1[[#This Row],[REQUISICIONES MARZO 2021]]+Tabla1[[#This Row],[ENTRADAS MARZO 2021]]</f>
        <v>5</v>
      </c>
      <c r="Q650" s="75" t="s">
        <v>157</v>
      </c>
      <c r="R650" s="78">
        <v>0</v>
      </c>
      <c r="S650" s="36">
        <f t="shared" si="27"/>
        <v>0</v>
      </c>
      <c r="T650" s="100">
        <f>Tabla1[[#This Row],[STOCK MARZO ]]*Tabla1[[#This Row],[COSTO UNITARIO SIN ITBIS]]</f>
        <v>0</v>
      </c>
    </row>
    <row r="651" spans="1:20" s="9" customFormat="1" x14ac:dyDescent="0.25">
      <c r="A651" s="98">
        <v>42</v>
      </c>
      <c r="B651" s="76">
        <v>44110</v>
      </c>
      <c r="C651" s="29" t="s">
        <v>11</v>
      </c>
      <c r="D651" s="76">
        <v>44110</v>
      </c>
      <c r="E651" s="156"/>
      <c r="F651" s="14">
        <v>1558</v>
      </c>
      <c r="G651" s="77" t="s">
        <v>569</v>
      </c>
      <c r="H651" s="74">
        <v>3</v>
      </c>
      <c r="I651" s="74"/>
      <c r="J651" s="74">
        <f>+'INVENTARIO ENERO-MARZO 2021'!$H651-'INVENTARIO ENERO-MARZO 2021'!$I651</f>
        <v>3</v>
      </c>
      <c r="K651" s="74"/>
      <c r="L651" s="74"/>
      <c r="M651" s="74"/>
      <c r="N651" s="74">
        <f>1+1</f>
        <v>2</v>
      </c>
      <c r="O651" s="74">
        <f>+Tabla1[[#This Row],[STOCK    FISICO ENERO 2021]]-Tabla1[[#This Row],[REQUISICIONES FEBRERO 2021]]</f>
        <v>3</v>
      </c>
      <c r="P651" s="74">
        <f>+Tabla1[[#This Row],[STOCK  FEBRERO 2021]]-Tabla1[[#This Row],[REQUISICIONES MARZO 2021]]+Tabla1[[#This Row],[ENTRADAS MARZO 2021]]</f>
        <v>1</v>
      </c>
      <c r="Q651" s="31" t="s">
        <v>15</v>
      </c>
      <c r="R651" s="78">
        <v>822</v>
      </c>
      <c r="S651" s="36">
        <f t="shared" si="27"/>
        <v>969.96</v>
      </c>
      <c r="T651" s="100">
        <f>Tabla1[[#This Row],[STOCK MARZO ]]*Tabla1[[#This Row],[COSTO UNITARIO SIN ITBIS]]</f>
        <v>822</v>
      </c>
    </row>
    <row r="652" spans="1:20" s="9" customFormat="1" x14ac:dyDescent="0.25">
      <c r="A652" s="98">
        <v>43</v>
      </c>
      <c r="B652" s="76">
        <v>44028</v>
      </c>
      <c r="C652" s="14" t="s">
        <v>11</v>
      </c>
      <c r="D652" s="76">
        <v>44028</v>
      </c>
      <c r="E652" s="156"/>
      <c r="F652" s="14">
        <v>1785</v>
      </c>
      <c r="G652" s="77" t="s">
        <v>742</v>
      </c>
      <c r="H652" s="74">
        <v>1</v>
      </c>
      <c r="I652" s="74"/>
      <c r="J652" s="74">
        <f>+'INVENTARIO ENERO-MARZO 2021'!$H652-'INVENTARIO ENERO-MARZO 2021'!$I652</f>
        <v>1</v>
      </c>
      <c r="K652" s="74"/>
      <c r="L652" s="74"/>
      <c r="M652" s="74"/>
      <c r="N652" s="74"/>
      <c r="O652" s="74">
        <f>+Tabla1[[#This Row],[STOCK    FISICO ENERO 2021]]-Tabla1[[#This Row],[REQUISICIONES FEBRERO 2021]]</f>
        <v>1</v>
      </c>
      <c r="P652" s="74">
        <f>+Tabla1[[#This Row],[STOCK  FEBRERO 2021]]-Tabla1[[#This Row],[REQUISICIONES MARZO 2021]]+Tabla1[[#This Row],[ENTRADAS MARZO 2021]]</f>
        <v>1</v>
      </c>
      <c r="Q652" s="75" t="s">
        <v>112</v>
      </c>
      <c r="R652" s="78">
        <v>238.8</v>
      </c>
      <c r="S652" s="36">
        <f>R652*0.18+R652</f>
        <v>281.78399999999999</v>
      </c>
      <c r="T652" s="100">
        <f>Tabla1[[#This Row],[STOCK MARZO ]]*Tabla1[[#This Row],[COSTO UNITARIO SIN ITBIS]]</f>
        <v>238.8</v>
      </c>
    </row>
    <row r="653" spans="1:20" s="9" customFormat="1" ht="14.25" customHeight="1" x14ac:dyDescent="0.25">
      <c r="A653" s="98">
        <v>44</v>
      </c>
      <c r="B653" s="32">
        <v>43073</v>
      </c>
      <c r="C653" s="29" t="s">
        <v>11</v>
      </c>
      <c r="D653" s="32">
        <v>43073</v>
      </c>
      <c r="E653" s="148"/>
      <c r="F653" s="29">
        <v>1807</v>
      </c>
      <c r="G653" s="77" t="s">
        <v>570</v>
      </c>
      <c r="H653" s="74">
        <v>0</v>
      </c>
      <c r="I653" s="74"/>
      <c r="J653" s="74">
        <f>+'INVENTARIO ENERO-MARZO 2021'!$H653-'INVENTARIO ENERO-MARZO 2021'!$I653</f>
        <v>0</v>
      </c>
      <c r="K653" s="74"/>
      <c r="L653" s="74"/>
      <c r="M653" s="74"/>
      <c r="N653" s="74"/>
      <c r="O653" s="74">
        <f>+Tabla1[[#This Row],[STOCK    FISICO ENERO 2021]]-Tabla1[[#This Row],[REQUISICIONES FEBRERO 2021]]</f>
        <v>0</v>
      </c>
      <c r="P653" s="74">
        <f>+Tabla1[[#This Row],[STOCK  FEBRERO 2021]]-Tabla1[[#This Row],[REQUISICIONES MARZO 2021]]+Tabla1[[#This Row],[ENTRADAS MARZO 2021]]</f>
        <v>0</v>
      </c>
      <c r="Q653" s="31" t="s">
        <v>15</v>
      </c>
      <c r="R653" s="78">
        <v>488.14</v>
      </c>
      <c r="S653" s="36">
        <f t="shared" si="27"/>
        <v>576.00519999999995</v>
      </c>
      <c r="T653" s="100">
        <f>Tabla1[[#This Row],[STOCK MARZO ]]*Tabla1[[#This Row],[COSTO UNITARIO SIN ITBIS]]</f>
        <v>0</v>
      </c>
    </row>
    <row r="654" spans="1:20" s="9" customFormat="1" x14ac:dyDescent="0.25">
      <c r="A654" s="98">
        <v>45</v>
      </c>
      <c r="B654" s="76">
        <v>43073</v>
      </c>
      <c r="C654" s="29" t="s">
        <v>11</v>
      </c>
      <c r="D654" s="76">
        <v>43073</v>
      </c>
      <c r="E654" s="156"/>
      <c r="F654" s="29">
        <v>1443</v>
      </c>
      <c r="G654" s="33" t="s">
        <v>711</v>
      </c>
      <c r="H654" s="64">
        <v>1</v>
      </c>
      <c r="I654" s="64"/>
      <c r="J654" s="64">
        <f>+'INVENTARIO ENERO-MARZO 2021'!$H654-'INVENTARIO ENERO-MARZO 2021'!$I654</f>
        <v>1</v>
      </c>
      <c r="K654" s="64"/>
      <c r="L654" s="64"/>
      <c r="M654" s="64"/>
      <c r="N654" s="64"/>
      <c r="O654" s="64">
        <f>+Tabla1[[#This Row],[STOCK    FISICO ENERO 2021]]-Tabla1[[#This Row],[REQUISICIONES FEBRERO 2021]]</f>
        <v>1</v>
      </c>
      <c r="P654" s="64">
        <f>+Tabla1[[#This Row],[STOCK  FEBRERO 2021]]-Tabla1[[#This Row],[REQUISICIONES MARZO 2021]]+Tabla1[[#This Row],[ENTRADAS MARZO 2021]]</f>
        <v>1</v>
      </c>
      <c r="Q654" s="31" t="s">
        <v>15</v>
      </c>
      <c r="R654" s="35">
        <v>2478</v>
      </c>
      <c r="S654" s="36">
        <f t="shared" si="27"/>
        <v>2924.04</v>
      </c>
      <c r="T654" s="100">
        <f>Tabla1[[#This Row],[STOCK MARZO ]]*Tabla1[[#This Row],[COSTO UNITARIO SIN ITBIS]]</f>
        <v>2478</v>
      </c>
    </row>
    <row r="655" spans="1:20" s="9" customFormat="1" x14ac:dyDescent="0.25">
      <c r="A655" s="98">
        <v>46</v>
      </c>
      <c r="B655" s="32">
        <v>43453</v>
      </c>
      <c r="C655" s="29" t="s">
        <v>11</v>
      </c>
      <c r="D655" s="32">
        <v>43453</v>
      </c>
      <c r="E655" s="148"/>
      <c r="F655" s="14">
        <v>1432</v>
      </c>
      <c r="G655" s="33" t="s">
        <v>712</v>
      </c>
      <c r="H655" s="64">
        <v>2</v>
      </c>
      <c r="I655" s="64"/>
      <c r="J655" s="64">
        <f>+'INVENTARIO ENERO-MARZO 2021'!$H655-'INVENTARIO ENERO-MARZO 2021'!$I655</f>
        <v>2</v>
      </c>
      <c r="K655" s="64"/>
      <c r="L655" s="64"/>
      <c r="M655" s="64"/>
      <c r="N655" s="64"/>
      <c r="O655" s="64">
        <f>+Tabla1[[#This Row],[STOCK    FISICO ENERO 2021]]-Tabla1[[#This Row],[REQUISICIONES FEBRERO 2021]]</f>
        <v>2</v>
      </c>
      <c r="P655" s="64">
        <f>+Tabla1[[#This Row],[STOCK  FEBRERO 2021]]-Tabla1[[#This Row],[REQUISICIONES MARZO 2021]]+Tabla1[[#This Row],[ENTRADAS MARZO 2021]]</f>
        <v>2</v>
      </c>
      <c r="Q655" s="31" t="s">
        <v>15</v>
      </c>
      <c r="R655" s="35">
        <v>4967.8</v>
      </c>
      <c r="S655" s="36">
        <f t="shared" si="27"/>
        <v>5862.0039999999999</v>
      </c>
      <c r="T655" s="100">
        <f>Tabla1[[#This Row],[STOCK MARZO ]]*Tabla1[[#This Row],[COSTO UNITARIO SIN ITBIS]]</f>
        <v>9935.6</v>
      </c>
    </row>
    <row r="656" spans="1:20" s="9" customFormat="1" x14ac:dyDescent="0.25">
      <c r="A656" s="98">
        <v>47</v>
      </c>
      <c r="B656" s="76">
        <v>44026</v>
      </c>
      <c r="C656" s="29" t="s">
        <v>11</v>
      </c>
      <c r="D656" s="76">
        <v>44026</v>
      </c>
      <c r="E656" s="156"/>
      <c r="F656" s="14">
        <v>1127</v>
      </c>
      <c r="G656" s="33" t="s">
        <v>571</v>
      </c>
      <c r="H656" s="64">
        <v>17</v>
      </c>
      <c r="I656" s="64"/>
      <c r="J656" s="64">
        <f>+'INVENTARIO ENERO-MARZO 2021'!$H656-'INVENTARIO ENERO-MARZO 2021'!$I656</f>
        <v>17</v>
      </c>
      <c r="K656" s="64"/>
      <c r="L656" s="64"/>
      <c r="M656" s="64"/>
      <c r="N656" s="64"/>
      <c r="O656" s="64">
        <f>+Tabla1[[#This Row],[STOCK    FISICO ENERO 2021]]-Tabla1[[#This Row],[REQUISICIONES FEBRERO 2021]]</f>
        <v>17</v>
      </c>
      <c r="P656" s="64">
        <f>+Tabla1[[#This Row],[STOCK  FEBRERO 2021]]-Tabla1[[#This Row],[REQUISICIONES MARZO 2021]]+Tabla1[[#This Row],[ENTRADAS MARZO 2021]]</f>
        <v>17</v>
      </c>
      <c r="Q656" s="31" t="s">
        <v>12</v>
      </c>
      <c r="R656" s="35">
        <v>81.36</v>
      </c>
      <c r="S656" s="36">
        <f t="shared" si="27"/>
        <v>96.004800000000003</v>
      </c>
      <c r="T656" s="100">
        <f>Tabla1[[#This Row],[STOCK MARZO ]]*Tabla1[[#This Row],[COSTO UNITARIO SIN ITBIS]]</f>
        <v>1383.12</v>
      </c>
    </row>
    <row r="657" spans="1:20" s="9" customFormat="1" x14ac:dyDescent="0.25">
      <c r="A657" s="98">
        <v>48</v>
      </c>
      <c r="B657" s="32"/>
      <c r="C657" s="29" t="s">
        <v>11</v>
      </c>
      <c r="D657" s="32"/>
      <c r="E657" s="148"/>
      <c r="F657" s="14"/>
      <c r="G657" s="33" t="s">
        <v>715</v>
      </c>
      <c r="H657" s="64">
        <v>1</v>
      </c>
      <c r="I657" s="64"/>
      <c r="J657" s="64">
        <f>+'INVENTARIO ENERO-MARZO 2021'!$H657-'INVENTARIO ENERO-MARZO 2021'!$I657</f>
        <v>1</v>
      </c>
      <c r="K657" s="64"/>
      <c r="L657" s="64"/>
      <c r="M657" s="64"/>
      <c r="N657" s="64"/>
      <c r="O657" s="64">
        <f>+Tabla1[[#This Row],[STOCK    FISICO ENERO 2021]]-Tabla1[[#This Row],[REQUISICIONES FEBRERO 2021]]</f>
        <v>1</v>
      </c>
      <c r="P657" s="64">
        <f>+Tabla1[[#This Row],[STOCK  FEBRERO 2021]]-Tabla1[[#This Row],[REQUISICIONES MARZO 2021]]+Tabla1[[#This Row],[ENTRADAS MARZO 2021]]</f>
        <v>1</v>
      </c>
      <c r="Q657" s="31" t="s">
        <v>12</v>
      </c>
      <c r="R657" s="35"/>
      <c r="S657" s="36"/>
      <c r="T657" s="100">
        <f>Tabla1[[#This Row],[STOCK MARZO ]]*Tabla1[[#This Row],[COSTO UNITARIO SIN ITBIS]]</f>
        <v>0</v>
      </c>
    </row>
    <row r="658" spans="1:20" s="9" customFormat="1" x14ac:dyDescent="0.25">
      <c r="A658" s="98">
        <v>49</v>
      </c>
      <c r="B658" s="32">
        <v>44028</v>
      </c>
      <c r="C658" s="29" t="s">
        <v>11</v>
      </c>
      <c r="D658" s="32">
        <v>44028</v>
      </c>
      <c r="E658" s="148"/>
      <c r="F658" s="29">
        <v>1129</v>
      </c>
      <c r="G658" s="77" t="s">
        <v>718</v>
      </c>
      <c r="H658" s="74">
        <v>13</v>
      </c>
      <c r="I658" s="74"/>
      <c r="J658" s="74">
        <f>+'INVENTARIO ENERO-MARZO 2021'!$H658-'INVENTARIO ENERO-MARZO 2021'!$I658</f>
        <v>13</v>
      </c>
      <c r="K658" s="74"/>
      <c r="L658" s="74"/>
      <c r="M658" s="74"/>
      <c r="N658" s="74"/>
      <c r="O658" s="74">
        <f>+Tabla1[[#This Row],[STOCK    FISICO ENERO 2021]]-Tabla1[[#This Row],[REQUISICIONES FEBRERO 2021]]</f>
        <v>13</v>
      </c>
      <c r="P658" s="74">
        <f>+Tabla1[[#This Row],[STOCK  FEBRERO 2021]]-Tabla1[[#This Row],[REQUISICIONES MARZO 2021]]+Tabla1[[#This Row],[ENTRADAS MARZO 2021]]</f>
        <v>13</v>
      </c>
      <c r="Q658" s="31" t="s">
        <v>12</v>
      </c>
      <c r="R658" s="78">
        <v>0</v>
      </c>
      <c r="S658" s="36">
        <f>R658*0.18+R658</f>
        <v>0</v>
      </c>
      <c r="T658" s="100">
        <f>Tabla1[[#This Row],[STOCK MARZO ]]*Tabla1[[#This Row],[COSTO UNITARIO SIN ITBIS]]</f>
        <v>0</v>
      </c>
    </row>
    <row r="659" spans="1:20" s="9" customFormat="1" x14ac:dyDescent="0.25">
      <c r="A659" s="98">
        <v>50</v>
      </c>
      <c r="B659" s="32">
        <v>44168</v>
      </c>
      <c r="C659" s="29" t="s">
        <v>11</v>
      </c>
      <c r="D659" s="32">
        <v>44154</v>
      </c>
      <c r="E659" s="148"/>
      <c r="F659" s="14"/>
      <c r="G659" s="33" t="s">
        <v>572</v>
      </c>
      <c r="H659" s="64">
        <v>5</v>
      </c>
      <c r="I659" s="64">
        <f>1+1</f>
        <v>2</v>
      </c>
      <c r="J659" s="64">
        <f>+'INVENTARIO ENERO-MARZO 2021'!$H659-'INVENTARIO ENERO-MARZO 2021'!$I659</f>
        <v>3</v>
      </c>
      <c r="K659" s="64"/>
      <c r="L659" s="64"/>
      <c r="M659" s="64">
        <f>1+2</f>
        <v>3</v>
      </c>
      <c r="N659" s="64"/>
      <c r="O659" s="64">
        <f>+Tabla1[[#This Row],[STOCK    FISICO ENERO 2021]]-Tabla1[[#This Row],[REQUISICIONES FEBRERO 2021]]</f>
        <v>0</v>
      </c>
      <c r="P659" s="64">
        <f>+Tabla1[[#This Row],[STOCK  FEBRERO 2021]]-Tabla1[[#This Row],[REQUISICIONES MARZO 2021]]+Tabla1[[#This Row],[ENTRADAS MARZO 2021]]</f>
        <v>0</v>
      </c>
      <c r="Q659" s="31" t="s">
        <v>12</v>
      </c>
      <c r="R659" s="35">
        <v>435</v>
      </c>
      <c r="S659" s="36">
        <f>R659*0.18+R659</f>
        <v>513.29999999999995</v>
      </c>
      <c r="T659" s="100">
        <f>Tabla1[[#This Row],[STOCK MARZO ]]*Tabla1[[#This Row],[COSTO UNITARIO SIN ITBIS]]</f>
        <v>0</v>
      </c>
    </row>
    <row r="660" spans="1:20" s="9" customFormat="1" x14ac:dyDescent="0.25">
      <c r="A660" s="98">
        <v>51</v>
      </c>
      <c r="B660" s="32"/>
      <c r="C660" s="29" t="s">
        <v>11</v>
      </c>
      <c r="D660" s="32"/>
      <c r="E660" s="148"/>
      <c r="F660" s="14"/>
      <c r="G660" s="33" t="s">
        <v>717</v>
      </c>
      <c r="H660" s="64">
        <v>8</v>
      </c>
      <c r="I660" s="64"/>
      <c r="J660" s="64">
        <f>+'INVENTARIO ENERO-MARZO 2021'!$H660-'INVENTARIO ENERO-MARZO 2021'!$I660</f>
        <v>8</v>
      </c>
      <c r="K660" s="64"/>
      <c r="L660" s="64"/>
      <c r="M660" s="64">
        <f>1+2</f>
        <v>3</v>
      </c>
      <c r="N660" s="64"/>
      <c r="O660" s="64">
        <f>+Tabla1[[#This Row],[STOCK    FISICO ENERO 2021]]-Tabla1[[#This Row],[REQUISICIONES FEBRERO 2021]]</f>
        <v>5</v>
      </c>
      <c r="P660" s="64">
        <f>+Tabla1[[#This Row],[STOCK  FEBRERO 2021]]-Tabla1[[#This Row],[REQUISICIONES MARZO 2021]]+Tabla1[[#This Row],[ENTRADAS MARZO 2021]]</f>
        <v>5</v>
      </c>
      <c r="Q660" s="31" t="s">
        <v>12</v>
      </c>
      <c r="R660" s="35"/>
      <c r="S660" s="36"/>
      <c r="T660" s="100">
        <f>Tabla1[[#This Row],[STOCK MARZO ]]*Tabla1[[#This Row],[COSTO UNITARIO SIN ITBIS]]</f>
        <v>0</v>
      </c>
    </row>
    <row r="661" spans="1:20" s="9" customFormat="1" x14ac:dyDescent="0.25">
      <c r="A661" s="98">
        <v>52</v>
      </c>
      <c r="B661" s="32">
        <v>43453</v>
      </c>
      <c r="C661" s="29" t="s">
        <v>11</v>
      </c>
      <c r="D661" s="32">
        <v>43453</v>
      </c>
      <c r="E661" s="148"/>
      <c r="F661" s="29">
        <v>1128</v>
      </c>
      <c r="G661" s="33" t="s">
        <v>719</v>
      </c>
      <c r="H661" s="64">
        <v>1</v>
      </c>
      <c r="I661" s="64"/>
      <c r="J661" s="64">
        <f>+'INVENTARIO ENERO-MARZO 2021'!$H661-'INVENTARIO ENERO-MARZO 2021'!$I661</f>
        <v>1</v>
      </c>
      <c r="K661" s="64"/>
      <c r="L661" s="64"/>
      <c r="M661" s="64"/>
      <c r="N661" s="64"/>
      <c r="O661" s="64">
        <f>+Tabla1[[#This Row],[STOCK    FISICO ENERO 2021]]-Tabla1[[#This Row],[REQUISICIONES FEBRERO 2021]]</f>
        <v>1</v>
      </c>
      <c r="P661" s="64">
        <f>+Tabla1[[#This Row],[STOCK  FEBRERO 2021]]-Tabla1[[#This Row],[REQUISICIONES MARZO 2021]]+Tabla1[[#This Row],[ENTRADAS MARZO 2021]]</f>
        <v>1</v>
      </c>
      <c r="Q661" s="31" t="s">
        <v>12</v>
      </c>
      <c r="R661" s="35">
        <v>1200</v>
      </c>
      <c r="S661" s="36">
        <f t="shared" ref="S661:S669" si="28">R661*0.18+R661</f>
        <v>1416</v>
      </c>
      <c r="T661" s="100">
        <f>Tabla1[[#This Row],[STOCK MARZO ]]*Tabla1[[#This Row],[COSTO UNITARIO SIN ITBIS]]</f>
        <v>1200</v>
      </c>
    </row>
    <row r="662" spans="1:20" s="9" customFormat="1" x14ac:dyDescent="0.25">
      <c r="A662" s="98">
        <v>53</v>
      </c>
      <c r="B662" s="32">
        <v>44168</v>
      </c>
      <c r="C662" s="29" t="s">
        <v>11</v>
      </c>
      <c r="D662" s="32">
        <v>44151</v>
      </c>
      <c r="E662" s="148"/>
      <c r="F662" s="14">
        <v>1284</v>
      </c>
      <c r="G662" s="77" t="s">
        <v>573</v>
      </c>
      <c r="H662" s="74">
        <v>13</v>
      </c>
      <c r="I662" s="74"/>
      <c r="J662" s="74">
        <f>+'INVENTARIO ENERO-MARZO 2021'!$H662-'INVENTARIO ENERO-MARZO 2021'!$I662</f>
        <v>13</v>
      </c>
      <c r="K662" s="74"/>
      <c r="L662" s="74"/>
      <c r="M662" s="74">
        <v>1</v>
      </c>
      <c r="N662" s="74">
        <f>1+3+1</f>
        <v>5</v>
      </c>
      <c r="O662" s="74">
        <f>+Tabla1[[#This Row],[STOCK    FISICO ENERO 2021]]-Tabla1[[#This Row],[REQUISICIONES FEBRERO 2021]]</f>
        <v>12</v>
      </c>
      <c r="P662" s="74">
        <f>+Tabla1[[#This Row],[STOCK  FEBRERO 2021]]-Tabla1[[#This Row],[REQUISICIONES MARZO 2021]]+Tabla1[[#This Row],[ENTRADAS MARZO 2021]]</f>
        <v>7</v>
      </c>
      <c r="Q662" s="75" t="s">
        <v>112</v>
      </c>
      <c r="R662" s="78"/>
      <c r="S662" s="36">
        <f t="shared" si="28"/>
        <v>0</v>
      </c>
      <c r="T662" s="100">
        <f>Tabla1[[#This Row],[STOCK MARZO ]]*Tabla1[[#This Row],[COSTO UNITARIO SIN ITBIS]]</f>
        <v>0</v>
      </c>
    </row>
    <row r="663" spans="1:20" s="9" customFormat="1" x14ac:dyDescent="0.25">
      <c r="A663" s="98">
        <v>54</v>
      </c>
      <c r="B663" s="32">
        <v>44026</v>
      </c>
      <c r="C663" s="29" t="s">
        <v>11</v>
      </c>
      <c r="D663" s="32">
        <v>44026</v>
      </c>
      <c r="E663" s="148"/>
      <c r="F663" s="29">
        <v>1328</v>
      </c>
      <c r="G663" s="79" t="s">
        <v>720</v>
      </c>
      <c r="H663" s="74">
        <v>3</v>
      </c>
      <c r="I663" s="74"/>
      <c r="J663" s="74">
        <f>+'INVENTARIO ENERO-MARZO 2021'!$H663-'INVENTARIO ENERO-MARZO 2021'!$I663</f>
        <v>3</v>
      </c>
      <c r="K663" s="74"/>
      <c r="L663" s="74"/>
      <c r="M663" s="74"/>
      <c r="N663" s="74">
        <v>1</v>
      </c>
      <c r="O663" s="74">
        <f>+Tabla1[[#This Row],[STOCK    FISICO ENERO 2021]]-Tabla1[[#This Row],[REQUISICIONES FEBRERO 2021]]</f>
        <v>3</v>
      </c>
      <c r="P663" s="74">
        <f>+Tabla1[[#This Row],[STOCK  FEBRERO 2021]]-Tabla1[[#This Row],[REQUISICIONES MARZO 2021]]+Tabla1[[#This Row],[ENTRADAS MARZO 2021]]</f>
        <v>2</v>
      </c>
      <c r="Q663" s="75" t="s">
        <v>112</v>
      </c>
      <c r="R663" s="78">
        <v>0</v>
      </c>
      <c r="S663" s="36">
        <f t="shared" si="28"/>
        <v>0</v>
      </c>
      <c r="T663" s="100">
        <f>Tabla1[[#This Row],[STOCK MARZO ]]*Tabla1[[#This Row],[COSTO UNITARIO SIN ITBIS]]</f>
        <v>0</v>
      </c>
    </row>
    <row r="664" spans="1:20" s="9" customFormat="1" x14ac:dyDescent="0.25">
      <c r="A664" s="98">
        <v>55</v>
      </c>
      <c r="B664" s="76">
        <v>43453</v>
      </c>
      <c r="C664" s="29" t="s">
        <v>11</v>
      </c>
      <c r="D664" s="76">
        <v>43453</v>
      </c>
      <c r="E664" s="156"/>
      <c r="F664" s="14"/>
      <c r="G664" s="79" t="s">
        <v>574</v>
      </c>
      <c r="H664" s="74">
        <v>4</v>
      </c>
      <c r="I664" s="74"/>
      <c r="J664" s="74">
        <f>+'INVENTARIO ENERO-MARZO 2021'!$H664-'INVENTARIO ENERO-MARZO 2021'!$I664</f>
        <v>4</v>
      </c>
      <c r="K664" s="74"/>
      <c r="L664" s="74"/>
      <c r="M664" s="74">
        <v>1</v>
      </c>
      <c r="N664" s="74"/>
      <c r="O664" s="74">
        <f>+Tabla1[[#This Row],[STOCK    FISICO ENERO 2021]]-Tabla1[[#This Row],[REQUISICIONES FEBRERO 2021]]</f>
        <v>3</v>
      </c>
      <c r="P664" s="74">
        <f>+Tabla1[[#This Row],[STOCK  FEBRERO 2021]]-Tabla1[[#This Row],[REQUISICIONES MARZO 2021]]+Tabla1[[#This Row],[ENTRADAS MARZO 2021]]</f>
        <v>3</v>
      </c>
      <c r="Q664" s="80" t="s">
        <v>12</v>
      </c>
      <c r="R664" s="78">
        <v>1333</v>
      </c>
      <c r="S664" s="36">
        <f t="shared" si="28"/>
        <v>1572.94</v>
      </c>
      <c r="T664" s="100">
        <f>Tabla1[[#This Row],[STOCK MARZO ]]*Tabla1[[#This Row],[COSTO UNITARIO SIN ITBIS]]</f>
        <v>3999</v>
      </c>
    </row>
    <row r="665" spans="1:20" s="9" customFormat="1" x14ac:dyDescent="0.25">
      <c r="A665" s="98">
        <v>56</v>
      </c>
      <c r="B665" s="76">
        <v>43088</v>
      </c>
      <c r="C665" s="29" t="s">
        <v>11</v>
      </c>
      <c r="D665" s="76">
        <v>43088</v>
      </c>
      <c r="E665" s="156"/>
      <c r="F665" s="14">
        <v>1136</v>
      </c>
      <c r="G665" s="33" t="s">
        <v>575</v>
      </c>
      <c r="H665" s="64">
        <v>65</v>
      </c>
      <c r="I665" s="64"/>
      <c r="J665" s="64">
        <f>+'INVENTARIO ENERO-MARZO 2021'!$H665-'INVENTARIO ENERO-MARZO 2021'!$I665</f>
        <v>65</v>
      </c>
      <c r="K665" s="64"/>
      <c r="L665" s="64"/>
      <c r="M665" s="64"/>
      <c r="N665" s="64"/>
      <c r="O665" s="64">
        <f>+Tabla1[[#This Row],[STOCK    FISICO ENERO 2021]]-Tabla1[[#This Row],[REQUISICIONES FEBRERO 2021]]</f>
        <v>65</v>
      </c>
      <c r="P665" s="64">
        <f>+Tabla1[[#This Row],[STOCK  FEBRERO 2021]]-Tabla1[[#This Row],[REQUISICIONES MARZO 2021]]+Tabla1[[#This Row],[ENTRADAS MARZO 2021]]</f>
        <v>65</v>
      </c>
      <c r="Q665" s="31" t="s">
        <v>12</v>
      </c>
      <c r="R665" s="35">
        <v>94.4</v>
      </c>
      <c r="S665" s="36">
        <f t="shared" si="28"/>
        <v>111.39200000000001</v>
      </c>
      <c r="T665" s="100">
        <f>Tabla1[[#This Row],[STOCK MARZO ]]*Tabla1[[#This Row],[COSTO UNITARIO SIN ITBIS]]</f>
        <v>6136</v>
      </c>
    </row>
    <row r="666" spans="1:20" s="9" customFormat="1" x14ac:dyDescent="0.25">
      <c r="A666" s="98">
        <v>57</v>
      </c>
      <c r="B666" s="32">
        <v>43088</v>
      </c>
      <c r="C666" s="29" t="s">
        <v>11</v>
      </c>
      <c r="D666" s="32">
        <v>43088</v>
      </c>
      <c r="E666" s="148"/>
      <c r="F666" s="14">
        <v>1135</v>
      </c>
      <c r="G666" s="33" t="s">
        <v>576</v>
      </c>
      <c r="H666" s="64">
        <v>2</v>
      </c>
      <c r="I666" s="64"/>
      <c r="J666" s="64">
        <f>+'INVENTARIO ENERO-MARZO 2021'!$H666-'INVENTARIO ENERO-MARZO 2021'!$I666</f>
        <v>2</v>
      </c>
      <c r="K666" s="64"/>
      <c r="L666" s="64"/>
      <c r="M666" s="64"/>
      <c r="N666" s="64"/>
      <c r="O666" s="64">
        <f>+Tabla1[[#This Row],[STOCK    FISICO ENERO 2021]]-Tabla1[[#This Row],[REQUISICIONES FEBRERO 2021]]</f>
        <v>2</v>
      </c>
      <c r="P666" s="64">
        <f>+Tabla1[[#This Row],[STOCK  FEBRERO 2021]]-Tabla1[[#This Row],[REQUISICIONES MARZO 2021]]+Tabla1[[#This Row],[ENTRADAS MARZO 2021]]</f>
        <v>2</v>
      </c>
      <c r="Q666" s="31" t="s">
        <v>12</v>
      </c>
      <c r="R666" s="35">
        <v>360</v>
      </c>
      <c r="S666" s="36">
        <f t="shared" si="28"/>
        <v>424.8</v>
      </c>
      <c r="T666" s="100">
        <f>Tabla1[[#This Row],[STOCK MARZO ]]*Tabla1[[#This Row],[COSTO UNITARIO SIN ITBIS]]</f>
        <v>720</v>
      </c>
    </row>
    <row r="667" spans="1:20" s="9" customFormat="1" x14ac:dyDescent="0.25">
      <c r="A667" s="98">
        <v>58</v>
      </c>
      <c r="B667" s="76">
        <v>43397</v>
      </c>
      <c r="C667" s="29" t="s">
        <v>11</v>
      </c>
      <c r="D667" s="76">
        <v>43397</v>
      </c>
      <c r="E667" s="156"/>
      <c r="F667" s="29">
        <v>1137</v>
      </c>
      <c r="G667" s="77" t="s">
        <v>577</v>
      </c>
      <c r="H667" s="74">
        <v>1</v>
      </c>
      <c r="I667" s="74"/>
      <c r="J667" s="74">
        <f>+'INVENTARIO ENERO-MARZO 2021'!$H667-'INVENTARIO ENERO-MARZO 2021'!$I667</f>
        <v>1</v>
      </c>
      <c r="K667" s="74"/>
      <c r="L667" s="74"/>
      <c r="M667" s="74"/>
      <c r="N667" s="74"/>
      <c r="O667" s="74">
        <f>+Tabla1[[#This Row],[STOCK    FISICO ENERO 2021]]-Tabla1[[#This Row],[REQUISICIONES FEBRERO 2021]]</f>
        <v>1</v>
      </c>
      <c r="P667" s="74">
        <f>+Tabla1[[#This Row],[STOCK  FEBRERO 2021]]-Tabla1[[#This Row],[REQUISICIONES MARZO 2021]]+Tabla1[[#This Row],[ENTRADAS MARZO 2021]]</f>
        <v>1</v>
      </c>
      <c r="Q667" s="75" t="s">
        <v>12</v>
      </c>
      <c r="R667" s="78">
        <v>360</v>
      </c>
      <c r="S667" s="36">
        <f t="shared" si="28"/>
        <v>424.8</v>
      </c>
      <c r="T667" s="100">
        <f>Tabla1[[#This Row],[STOCK MARZO ]]*Tabla1[[#This Row],[COSTO UNITARIO SIN ITBIS]]</f>
        <v>360</v>
      </c>
    </row>
    <row r="668" spans="1:20" s="9" customFormat="1" x14ac:dyDescent="0.25">
      <c r="A668" s="98">
        <v>59</v>
      </c>
      <c r="B668" s="76">
        <v>44167</v>
      </c>
      <c r="C668" s="29" t="s">
        <v>11</v>
      </c>
      <c r="D668" s="76">
        <v>44166</v>
      </c>
      <c r="E668" s="156"/>
      <c r="F668" s="14">
        <v>1138</v>
      </c>
      <c r="G668" s="33" t="s">
        <v>578</v>
      </c>
      <c r="H668" s="64">
        <v>1</v>
      </c>
      <c r="I668" s="64"/>
      <c r="J668" s="64">
        <f>+'INVENTARIO ENERO-MARZO 2021'!$H668-'INVENTARIO ENERO-MARZO 2021'!$I668</f>
        <v>1</v>
      </c>
      <c r="K668" s="64"/>
      <c r="L668" s="64"/>
      <c r="M668" s="64"/>
      <c r="N668" s="64"/>
      <c r="O668" s="64">
        <f>+Tabla1[[#This Row],[STOCK    FISICO ENERO 2021]]-Tabla1[[#This Row],[REQUISICIONES FEBRERO 2021]]</f>
        <v>1</v>
      </c>
      <c r="P668" s="64">
        <f>+Tabla1[[#This Row],[STOCK  FEBRERO 2021]]-Tabla1[[#This Row],[REQUISICIONES MARZO 2021]]+Tabla1[[#This Row],[ENTRADAS MARZO 2021]]</f>
        <v>1</v>
      </c>
      <c r="Q668" s="31" t="s">
        <v>12</v>
      </c>
      <c r="R668" s="35">
        <v>255</v>
      </c>
      <c r="S668" s="36">
        <f t="shared" si="28"/>
        <v>300.89999999999998</v>
      </c>
      <c r="T668" s="100">
        <f>Tabla1[[#This Row],[STOCK MARZO ]]*Tabla1[[#This Row],[COSTO UNITARIO SIN ITBIS]]</f>
        <v>255</v>
      </c>
    </row>
    <row r="669" spans="1:20" s="9" customFormat="1" x14ac:dyDescent="0.25">
      <c r="A669" s="98">
        <v>60</v>
      </c>
      <c r="B669" s="32">
        <v>44169</v>
      </c>
      <c r="C669" s="29" t="s">
        <v>11</v>
      </c>
      <c r="D669" s="32">
        <v>44147</v>
      </c>
      <c r="E669" s="148"/>
      <c r="F669" s="29">
        <v>1134</v>
      </c>
      <c r="G669" s="77" t="s">
        <v>721</v>
      </c>
      <c r="H669" s="74">
        <v>1</v>
      </c>
      <c r="I669" s="74"/>
      <c r="J669" s="74">
        <f>+'INVENTARIO ENERO-MARZO 2021'!$H669-'INVENTARIO ENERO-MARZO 2021'!$I669</f>
        <v>1</v>
      </c>
      <c r="K669" s="74"/>
      <c r="L669" s="74"/>
      <c r="M669" s="74"/>
      <c r="N669" s="74"/>
      <c r="O669" s="74">
        <f>+Tabla1[[#This Row],[STOCK    FISICO ENERO 2021]]-Tabla1[[#This Row],[REQUISICIONES FEBRERO 2021]]</f>
        <v>1</v>
      </c>
      <c r="P669" s="74">
        <f>+Tabla1[[#This Row],[STOCK  FEBRERO 2021]]-Tabla1[[#This Row],[REQUISICIONES MARZO 2021]]+Tabla1[[#This Row],[ENTRADAS MARZO 2021]]</f>
        <v>1</v>
      </c>
      <c r="Q669" s="75" t="s">
        <v>12</v>
      </c>
      <c r="R669" s="78">
        <v>550</v>
      </c>
      <c r="S669" s="36">
        <f t="shared" si="28"/>
        <v>649</v>
      </c>
      <c r="T669" s="100">
        <f>Tabla1[[#This Row],[STOCK MARZO ]]*Tabla1[[#This Row],[COSTO UNITARIO SIN ITBIS]]</f>
        <v>550</v>
      </c>
    </row>
    <row r="670" spans="1:20" s="9" customFormat="1" x14ac:dyDescent="0.25">
      <c r="A670" s="98">
        <v>61</v>
      </c>
      <c r="B670" s="32"/>
      <c r="C670" s="29" t="s">
        <v>11</v>
      </c>
      <c r="D670" s="32"/>
      <c r="E670" s="148"/>
      <c r="F670" s="14"/>
      <c r="G670" s="33" t="s">
        <v>729</v>
      </c>
      <c r="H670" s="64">
        <v>2</v>
      </c>
      <c r="I670" s="64"/>
      <c r="J670" s="64">
        <f>+'INVENTARIO ENERO-MARZO 2021'!$H670-'INVENTARIO ENERO-MARZO 2021'!$I670</f>
        <v>2</v>
      </c>
      <c r="K670" s="64"/>
      <c r="L670" s="64"/>
      <c r="M670" s="64"/>
      <c r="N670" s="64">
        <v>1</v>
      </c>
      <c r="O670" s="64">
        <f>+Tabla1[[#This Row],[STOCK    FISICO ENERO 2021]]-Tabla1[[#This Row],[REQUISICIONES FEBRERO 2021]]</f>
        <v>2</v>
      </c>
      <c r="P670" s="64">
        <f>+Tabla1[[#This Row],[STOCK  FEBRERO 2021]]-Tabla1[[#This Row],[REQUISICIONES MARZO 2021]]+Tabla1[[#This Row],[ENTRADAS MARZO 2021]]</f>
        <v>1</v>
      </c>
      <c r="Q670" s="75" t="s">
        <v>12</v>
      </c>
      <c r="R670" s="35"/>
      <c r="S670" s="36"/>
      <c r="T670" s="100">
        <f>Tabla1[[#This Row],[STOCK MARZO ]]*Tabla1[[#This Row],[COSTO UNITARIO SIN ITBIS]]</f>
        <v>0</v>
      </c>
    </row>
    <row r="671" spans="1:20" s="9" customFormat="1" x14ac:dyDescent="0.25">
      <c r="A671" s="98">
        <v>62</v>
      </c>
      <c r="B671" s="32">
        <v>43636</v>
      </c>
      <c r="C671" s="29" t="s">
        <v>11</v>
      </c>
      <c r="D671" s="32">
        <v>43633</v>
      </c>
      <c r="E671" s="148"/>
      <c r="F671" s="29">
        <v>1515</v>
      </c>
      <c r="G671" s="77" t="s">
        <v>722</v>
      </c>
      <c r="H671" s="74">
        <v>1</v>
      </c>
      <c r="I671" s="74"/>
      <c r="J671" s="74">
        <f>+'INVENTARIO ENERO-MARZO 2021'!$H671-'INVENTARIO ENERO-MARZO 2021'!$I671</f>
        <v>1</v>
      </c>
      <c r="K671" s="74"/>
      <c r="L671" s="74"/>
      <c r="M671" s="74"/>
      <c r="N671" s="74"/>
      <c r="O671" s="74">
        <f>+Tabla1[[#This Row],[STOCK    FISICO ENERO 2021]]-Tabla1[[#This Row],[REQUISICIONES FEBRERO 2021]]</f>
        <v>1</v>
      </c>
      <c r="P671" s="74">
        <f>+Tabla1[[#This Row],[STOCK  FEBRERO 2021]]-Tabla1[[#This Row],[REQUISICIONES MARZO 2021]]+Tabla1[[#This Row],[ENTRADAS MARZO 2021]]</f>
        <v>1</v>
      </c>
      <c r="Q671" s="75" t="s">
        <v>12</v>
      </c>
      <c r="R671" s="78">
        <v>85</v>
      </c>
      <c r="S671" s="36">
        <f t="shared" ref="S671:S683" si="29">R671*0.18+R671</f>
        <v>100.3</v>
      </c>
      <c r="T671" s="100">
        <f>Tabla1[[#This Row],[STOCK MARZO ]]*Tabla1[[#This Row],[COSTO UNITARIO SIN ITBIS]]</f>
        <v>85</v>
      </c>
    </row>
    <row r="672" spans="1:20" s="9" customFormat="1" x14ac:dyDescent="0.25">
      <c r="A672" s="98">
        <v>63</v>
      </c>
      <c r="B672" s="76">
        <v>42991</v>
      </c>
      <c r="C672" s="29" t="s">
        <v>11</v>
      </c>
      <c r="D672" s="76">
        <v>42991</v>
      </c>
      <c r="E672" s="156"/>
      <c r="F672" s="14">
        <v>1516</v>
      </c>
      <c r="G672" s="33" t="s">
        <v>723</v>
      </c>
      <c r="H672" s="64">
        <v>2</v>
      </c>
      <c r="I672" s="64"/>
      <c r="J672" s="64">
        <f>+'INVENTARIO ENERO-MARZO 2021'!$H672-'INVENTARIO ENERO-MARZO 2021'!$I672</f>
        <v>2</v>
      </c>
      <c r="K672" s="64"/>
      <c r="L672" s="64"/>
      <c r="M672" s="64"/>
      <c r="N672" s="64"/>
      <c r="O672" s="64">
        <f>+Tabla1[[#This Row],[STOCK    FISICO ENERO 2021]]-Tabla1[[#This Row],[REQUISICIONES FEBRERO 2021]]</f>
        <v>2</v>
      </c>
      <c r="P672" s="64">
        <f>+Tabla1[[#This Row],[STOCK  FEBRERO 2021]]-Tabla1[[#This Row],[REQUISICIONES MARZO 2021]]+Tabla1[[#This Row],[ENTRADAS MARZO 2021]]</f>
        <v>2</v>
      </c>
      <c r="Q672" s="31" t="s">
        <v>112</v>
      </c>
      <c r="R672" s="35">
        <v>50.85</v>
      </c>
      <c r="S672" s="36">
        <f t="shared" si="29"/>
        <v>60.003</v>
      </c>
      <c r="T672" s="100">
        <f>Tabla1[[#This Row],[STOCK MARZO ]]*Tabla1[[#This Row],[COSTO UNITARIO SIN ITBIS]]</f>
        <v>101.7</v>
      </c>
    </row>
    <row r="673" spans="1:20" s="9" customFormat="1" x14ac:dyDescent="0.25">
      <c r="A673" s="98">
        <v>64</v>
      </c>
      <c r="B673" s="32">
        <v>42991</v>
      </c>
      <c r="C673" s="29" t="s">
        <v>11</v>
      </c>
      <c r="D673" s="32">
        <v>42991</v>
      </c>
      <c r="E673" s="148"/>
      <c r="F673" s="29">
        <v>1514</v>
      </c>
      <c r="G673" s="77" t="s">
        <v>724</v>
      </c>
      <c r="H673" s="74">
        <v>6</v>
      </c>
      <c r="I673" s="74"/>
      <c r="J673" s="74">
        <f>+'INVENTARIO ENERO-MARZO 2021'!$H673-'INVENTARIO ENERO-MARZO 2021'!$I673</f>
        <v>6</v>
      </c>
      <c r="K673" s="74"/>
      <c r="L673" s="74"/>
      <c r="M673" s="74"/>
      <c r="N673" s="74"/>
      <c r="O673" s="74">
        <f>+Tabla1[[#This Row],[STOCK    FISICO ENERO 2021]]-Tabla1[[#This Row],[REQUISICIONES FEBRERO 2021]]</f>
        <v>6</v>
      </c>
      <c r="P673" s="74">
        <f>+Tabla1[[#This Row],[STOCK  FEBRERO 2021]]-Tabla1[[#This Row],[REQUISICIONES MARZO 2021]]+Tabla1[[#This Row],[ENTRADAS MARZO 2021]]</f>
        <v>6</v>
      </c>
      <c r="Q673" s="75" t="s">
        <v>112</v>
      </c>
      <c r="R673" s="78">
        <v>61.02</v>
      </c>
      <c r="S673" s="36">
        <f t="shared" si="29"/>
        <v>72.003600000000006</v>
      </c>
      <c r="T673" s="100">
        <f>Tabla1[[#This Row],[STOCK MARZO ]]*Tabla1[[#This Row],[COSTO UNITARIO SIN ITBIS]]</f>
        <v>366.12</v>
      </c>
    </row>
    <row r="674" spans="1:20" s="9" customFormat="1" x14ac:dyDescent="0.25">
      <c r="A674" s="98">
        <v>65</v>
      </c>
      <c r="B674" s="76">
        <v>42991</v>
      </c>
      <c r="C674" s="29" t="s">
        <v>11</v>
      </c>
      <c r="D674" s="76">
        <v>42991</v>
      </c>
      <c r="E674" s="156"/>
      <c r="F674" s="14">
        <v>1140</v>
      </c>
      <c r="G674" s="33" t="s">
        <v>579</v>
      </c>
      <c r="H674" s="64">
        <v>3</v>
      </c>
      <c r="I674" s="64"/>
      <c r="J674" s="64">
        <f>+'INVENTARIO ENERO-MARZO 2021'!$H674-'INVENTARIO ENERO-MARZO 2021'!$I674</f>
        <v>3</v>
      </c>
      <c r="K674" s="64"/>
      <c r="L674" s="64"/>
      <c r="M674" s="64"/>
      <c r="N674" s="64"/>
      <c r="O674" s="64">
        <f>+Tabla1[[#This Row],[STOCK    FISICO ENERO 2021]]-Tabla1[[#This Row],[REQUISICIONES FEBRERO 2021]]</f>
        <v>3</v>
      </c>
      <c r="P674" s="64">
        <f>+Tabla1[[#This Row],[STOCK  FEBRERO 2021]]-Tabla1[[#This Row],[REQUISICIONES MARZO 2021]]+Tabla1[[#This Row],[ENTRADAS MARZO 2021]]</f>
        <v>3</v>
      </c>
      <c r="Q674" s="31" t="s">
        <v>112</v>
      </c>
      <c r="R674" s="35">
        <v>50.8</v>
      </c>
      <c r="S674" s="36">
        <f t="shared" si="29"/>
        <v>59.943999999999996</v>
      </c>
      <c r="T674" s="100">
        <f>Tabla1[[#This Row],[STOCK MARZO ]]*Tabla1[[#This Row],[COSTO UNITARIO SIN ITBIS]]</f>
        <v>152.39999999999998</v>
      </c>
    </row>
    <row r="675" spans="1:20" s="13" customFormat="1" x14ac:dyDescent="0.25">
      <c r="A675" s="98">
        <v>66</v>
      </c>
      <c r="B675" s="32">
        <v>44026</v>
      </c>
      <c r="C675" s="29" t="s">
        <v>11</v>
      </c>
      <c r="D675" s="32">
        <v>44026</v>
      </c>
      <c r="E675" s="148"/>
      <c r="F675" s="29">
        <v>1519</v>
      </c>
      <c r="G675" s="77" t="s">
        <v>580</v>
      </c>
      <c r="H675" s="74">
        <v>6</v>
      </c>
      <c r="I675" s="74"/>
      <c r="J675" s="74">
        <f>+'INVENTARIO ENERO-MARZO 2021'!$H675-'INVENTARIO ENERO-MARZO 2021'!$I675</f>
        <v>6</v>
      </c>
      <c r="K675" s="74"/>
      <c r="L675" s="74"/>
      <c r="M675" s="74"/>
      <c r="N675" s="74"/>
      <c r="O675" s="74">
        <f>+Tabla1[[#This Row],[STOCK    FISICO ENERO 2021]]-Tabla1[[#This Row],[REQUISICIONES FEBRERO 2021]]</f>
        <v>6</v>
      </c>
      <c r="P675" s="74">
        <f>+Tabla1[[#This Row],[STOCK  FEBRERO 2021]]-Tabla1[[#This Row],[REQUISICIONES MARZO 2021]]+Tabla1[[#This Row],[ENTRADAS MARZO 2021]]</f>
        <v>6</v>
      </c>
      <c r="Q675" s="75" t="s">
        <v>12</v>
      </c>
      <c r="R675" s="78">
        <v>222</v>
      </c>
      <c r="S675" s="36">
        <f t="shared" si="29"/>
        <v>261.95999999999998</v>
      </c>
      <c r="T675" s="100">
        <f>Tabla1[[#This Row],[STOCK MARZO ]]*Tabla1[[#This Row],[COSTO UNITARIO SIN ITBIS]]</f>
        <v>1332</v>
      </c>
    </row>
    <row r="676" spans="1:20" s="13" customFormat="1" x14ac:dyDescent="0.25">
      <c r="A676" s="98">
        <v>67</v>
      </c>
      <c r="B676" s="76">
        <v>44168</v>
      </c>
      <c r="C676" s="29" t="s">
        <v>11</v>
      </c>
      <c r="D676" s="76">
        <v>44154</v>
      </c>
      <c r="E676" s="156"/>
      <c r="F676" s="14">
        <v>1518</v>
      </c>
      <c r="G676" s="33" t="s">
        <v>581</v>
      </c>
      <c r="H676" s="64">
        <v>4</v>
      </c>
      <c r="I676" s="64"/>
      <c r="J676" s="64">
        <f>+'INVENTARIO ENERO-MARZO 2021'!$H676-'INVENTARIO ENERO-MARZO 2021'!$I676</f>
        <v>4</v>
      </c>
      <c r="K676" s="64"/>
      <c r="L676" s="64"/>
      <c r="M676" s="64"/>
      <c r="N676" s="64"/>
      <c r="O676" s="64">
        <f>+Tabla1[[#This Row],[STOCK    FISICO ENERO 2021]]-Tabla1[[#This Row],[REQUISICIONES FEBRERO 2021]]</f>
        <v>4</v>
      </c>
      <c r="P676" s="64">
        <f>+Tabla1[[#This Row],[STOCK  FEBRERO 2021]]-Tabla1[[#This Row],[REQUISICIONES MARZO 2021]]+Tabla1[[#This Row],[ENTRADAS MARZO 2021]]</f>
        <v>4</v>
      </c>
      <c r="Q676" s="31" t="s">
        <v>12</v>
      </c>
      <c r="R676" s="35">
        <v>73.22</v>
      </c>
      <c r="S676" s="36">
        <f t="shared" si="29"/>
        <v>86.399599999999992</v>
      </c>
      <c r="T676" s="100">
        <f>Tabla1[[#This Row],[STOCK MARZO ]]*Tabla1[[#This Row],[COSTO UNITARIO SIN ITBIS]]</f>
        <v>292.88</v>
      </c>
    </row>
    <row r="677" spans="1:20" s="9" customFormat="1" x14ac:dyDescent="0.25">
      <c r="A677" s="98">
        <v>68</v>
      </c>
      <c r="B677" s="76">
        <v>42991</v>
      </c>
      <c r="C677" s="29" t="s">
        <v>11</v>
      </c>
      <c r="D677" s="76">
        <v>42991</v>
      </c>
      <c r="E677" s="156"/>
      <c r="F677" s="29">
        <v>1517</v>
      </c>
      <c r="G677" s="33" t="s">
        <v>582</v>
      </c>
      <c r="H677" s="64">
        <v>6</v>
      </c>
      <c r="I677" s="64"/>
      <c r="J677" s="64">
        <f>+'INVENTARIO ENERO-MARZO 2021'!$H677-'INVENTARIO ENERO-MARZO 2021'!$I677</f>
        <v>6</v>
      </c>
      <c r="K677" s="64"/>
      <c r="L677" s="64"/>
      <c r="M677" s="64"/>
      <c r="N677" s="64"/>
      <c r="O677" s="64">
        <f>+Tabla1[[#This Row],[STOCK    FISICO ENERO 2021]]-Tabla1[[#This Row],[REQUISICIONES FEBRERO 2021]]</f>
        <v>6</v>
      </c>
      <c r="P677" s="64">
        <f>+Tabla1[[#This Row],[STOCK  FEBRERO 2021]]-Tabla1[[#This Row],[REQUISICIONES MARZO 2021]]+Tabla1[[#This Row],[ENTRADAS MARZO 2021]]</f>
        <v>6</v>
      </c>
      <c r="Q677" s="31" t="s">
        <v>112</v>
      </c>
      <c r="R677" s="35">
        <v>116.95</v>
      </c>
      <c r="S677" s="36">
        <f t="shared" si="29"/>
        <v>138.001</v>
      </c>
      <c r="T677" s="100">
        <f>Tabla1[[#This Row],[STOCK MARZO ]]*Tabla1[[#This Row],[COSTO UNITARIO SIN ITBIS]]</f>
        <v>701.7</v>
      </c>
    </row>
    <row r="678" spans="1:20" s="9" customFormat="1" x14ac:dyDescent="0.25">
      <c r="A678" s="98">
        <v>69</v>
      </c>
      <c r="B678" s="76">
        <v>44026</v>
      </c>
      <c r="C678" s="29" t="s">
        <v>11</v>
      </c>
      <c r="D678" s="76">
        <v>44026</v>
      </c>
      <c r="E678" s="156"/>
      <c r="F678" s="14"/>
      <c r="G678" s="33" t="s">
        <v>583</v>
      </c>
      <c r="H678" s="64">
        <v>16</v>
      </c>
      <c r="I678" s="64"/>
      <c r="J678" s="64">
        <f>+'INVENTARIO ENERO-MARZO 2021'!$H678-'INVENTARIO ENERO-MARZO 2021'!$I678</f>
        <v>16</v>
      </c>
      <c r="K678" s="64"/>
      <c r="L678" s="64"/>
      <c r="M678" s="64"/>
      <c r="N678" s="64"/>
      <c r="O678" s="64">
        <f>+Tabla1[[#This Row],[STOCK    FISICO ENERO 2021]]-Tabla1[[#This Row],[REQUISICIONES FEBRERO 2021]]</f>
        <v>16</v>
      </c>
      <c r="P678" s="64">
        <f>+Tabla1[[#This Row],[STOCK  FEBRERO 2021]]-Tabla1[[#This Row],[REQUISICIONES MARZO 2021]]+Tabla1[[#This Row],[ENTRADAS MARZO 2021]]</f>
        <v>16</v>
      </c>
      <c r="Q678" s="31" t="s">
        <v>12</v>
      </c>
      <c r="R678" s="35">
        <v>0</v>
      </c>
      <c r="S678" s="36">
        <f t="shared" si="29"/>
        <v>0</v>
      </c>
      <c r="T678" s="100">
        <f>Tabla1[[#This Row],[STOCK MARZO ]]*Tabla1[[#This Row],[COSTO UNITARIO SIN ITBIS]]</f>
        <v>0</v>
      </c>
    </row>
    <row r="679" spans="1:20" s="9" customFormat="1" x14ac:dyDescent="0.25">
      <c r="A679" s="98">
        <v>70</v>
      </c>
      <c r="B679" s="32">
        <v>44026</v>
      </c>
      <c r="C679" s="29" t="s">
        <v>11</v>
      </c>
      <c r="D679" s="32">
        <v>44026</v>
      </c>
      <c r="E679" s="148"/>
      <c r="F679" s="14">
        <v>1560</v>
      </c>
      <c r="G679" s="77" t="s">
        <v>584</v>
      </c>
      <c r="H679" s="74">
        <v>1</v>
      </c>
      <c r="I679" s="74"/>
      <c r="J679" s="74">
        <f>+'INVENTARIO ENERO-MARZO 2021'!$H679-'INVENTARIO ENERO-MARZO 2021'!$I679</f>
        <v>1</v>
      </c>
      <c r="K679" s="74"/>
      <c r="L679" s="74"/>
      <c r="M679" s="74"/>
      <c r="N679" s="74"/>
      <c r="O679" s="74">
        <f>+Tabla1[[#This Row],[STOCK    FISICO ENERO 2021]]-Tabla1[[#This Row],[REQUISICIONES FEBRERO 2021]]</f>
        <v>1</v>
      </c>
      <c r="P679" s="74">
        <f>+Tabla1[[#This Row],[STOCK  FEBRERO 2021]]-Tabla1[[#This Row],[REQUISICIONES MARZO 2021]]+Tabla1[[#This Row],[ENTRADAS MARZO 2021]]</f>
        <v>1</v>
      </c>
      <c r="Q679" s="75" t="s">
        <v>112</v>
      </c>
      <c r="R679" s="35">
        <v>3753</v>
      </c>
      <c r="S679" s="36">
        <f t="shared" si="29"/>
        <v>4428.54</v>
      </c>
      <c r="T679" s="100">
        <f>Tabla1[[#This Row],[STOCK MARZO ]]*Tabla1[[#This Row],[COSTO UNITARIO SIN ITBIS]]</f>
        <v>3753</v>
      </c>
    </row>
    <row r="680" spans="1:20" s="9" customFormat="1" x14ac:dyDescent="0.25">
      <c r="A680" s="98">
        <v>71</v>
      </c>
      <c r="B680" s="32">
        <v>44026</v>
      </c>
      <c r="C680" s="29" t="s">
        <v>11</v>
      </c>
      <c r="D680" s="32">
        <v>44026</v>
      </c>
      <c r="E680" s="148"/>
      <c r="F680" s="14">
        <v>1547</v>
      </c>
      <c r="G680" s="33" t="s">
        <v>585</v>
      </c>
      <c r="H680" s="64">
        <v>15</v>
      </c>
      <c r="I680" s="64"/>
      <c r="J680" s="64">
        <f>+'INVENTARIO ENERO-MARZO 2021'!$H680-'INVENTARIO ENERO-MARZO 2021'!$I680</f>
        <v>15</v>
      </c>
      <c r="K680" s="64"/>
      <c r="L680" s="64"/>
      <c r="M680" s="64">
        <v>1</v>
      </c>
      <c r="N680" s="64"/>
      <c r="O680" s="64">
        <f>+Tabla1[[#This Row],[STOCK    FISICO ENERO 2021]]-Tabla1[[#This Row],[REQUISICIONES FEBRERO 2021]]</f>
        <v>14</v>
      </c>
      <c r="P680" s="64">
        <f>+Tabla1[[#This Row],[STOCK  FEBRERO 2021]]-Tabla1[[#This Row],[REQUISICIONES MARZO 2021]]+Tabla1[[#This Row],[ENTRADAS MARZO 2021]]</f>
        <v>14</v>
      </c>
      <c r="Q680" s="31" t="s">
        <v>112</v>
      </c>
      <c r="R680" s="35">
        <v>101.69</v>
      </c>
      <c r="S680" s="36">
        <f t="shared" si="29"/>
        <v>119.99419999999999</v>
      </c>
      <c r="T680" s="100">
        <f>Tabla1[[#This Row],[STOCK MARZO ]]*Tabla1[[#This Row],[COSTO UNITARIO SIN ITBIS]]</f>
        <v>1423.6599999999999</v>
      </c>
    </row>
    <row r="681" spans="1:20" s="9" customFormat="1" x14ac:dyDescent="0.25">
      <c r="A681" s="98">
        <v>72</v>
      </c>
      <c r="B681" s="32">
        <v>44026</v>
      </c>
      <c r="C681" s="29" t="s">
        <v>11</v>
      </c>
      <c r="D681" s="32">
        <v>44026</v>
      </c>
      <c r="E681" s="148"/>
      <c r="F681" s="29">
        <v>1546</v>
      </c>
      <c r="G681" s="77" t="s">
        <v>586</v>
      </c>
      <c r="H681" s="74">
        <v>0</v>
      </c>
      <c r="I681" s="74"/>
      <c r="J681" s="74">
        <f>+'INVENTARIO ENERO-MARZO 2021'!$H681-'INVENTARIO ENERO-MARZO 2021'!$I681</f>
        <v>0</v>
      </c>
      <c r="K681" s="74"/>
      <c r="L681" s="74"/>
      <c r="M681" s="74"/>
      <c r="N681" s="74"/>
      <c r="O681" s="74">
        <f>+Tabla1[[#This Row],[STOCK    FISICO ENERO 2021]]-Tabla1[[#This Row],[REQUISICIONES FEBRERO 2021]]</f>
        <v>0</v>
      </c>
      <c r="P681" s="74">
        <f>+Tabla1[[#This Row],[STOCK  FEBRERO 2021]]-Tabla1[[#This Row],[REQUISICIONES MARZO 2021]]+Tabla1[[#This Row],[ENTRADAS MARZO 2021]]</f>
        <v>0</v>
      </c>
      <c r="Q681" s="75" t="s">
        <v>12</v>
      </c>
      <c r="R681" s="78">
        <v>71.19</v>
      </c>
      <c r="S681" s="36">
        <f t="shared" si="29"/>
        <v>84.004199999999997</v>
      </c>
      <c r="T681" s="100">
        <f>Tabla1[[#This Row],[STOCK MARZO ]]*Tabla1[[#This Row],[COSTO UNITARIO SIN ITBIS]]</f>
        <v>0</v>
      </c>
    </row>
    <row r="682" spans="1:20" s="9" customFormat="1" x14ac:dyDescent="0.25">
      <c r="A682" s="98">
        <v>73</v>
      </c>
      <c r="B682" s="32">
        <v>44110</v>
      </c>
      <c r="C682" s="29" t="s">
        <v>11</v>
      </c>
      <c r="D682" s="32">
        <v>44110</v>
      </c>
      <c r="E682" s="148"/>
      <c r="F682" s="73"/>
      <c r="G682" s="33" t="s">
        <v>587</v>
      </c>
      <c r="H682" s="64">
        <v>1</v>
      </c>
      <c r="I682" s="64"/>
      <c r="J682" s="64">
        <f>+'INVENTARIO ENERO-MARZO 2021'!$H682-'INVENTARIO ENERO-MARZO 2021'!$I682</f>
        <v>1</v>
      </c>
      <c r="K682" s="64"/>
      <c r="L682" s="64"/>
      <c r="M682" s="64"/>
      <c r="N682" s="64"/>
      <c r="O682" s="64">
        <f>+Tabla1[[#This Row],[STOCK    FISICO ENERO 2021]]-Tabla1[[#This Row],[REQUISICIONES FEBRERO 2021]]</f>
        <v>1</v>
      </c>
      <c r="P682" s="64">
        <f>+Tabla1[[#This Row],[STOCK  FEBRERO 2021]]-Tabla1[[#This Row],[REQUISICIONES MARZO 2021]]+Tabla1[[#This Row],[ENTRADAS MARZO 2021]]</f>
        <v>1</v>
      </c>
      <c r="Q682" s="31" t="s">
        <v>12</v>
      </c>
      <c r="R682" s="35">
        <v>122.03</v>
      </c>
      <c r="S682" s="36">
        <f t="shared" si="29"/>
        <v>143.99539999999999</v>
      </c>
      <c r="T682" s="100">
        <f>Tabla1[[#This Row],[STOCK MARZO ]]*Tabla1[[#This Row],[COSTO UNITARIO SIN ITBIS]]</f>
        <v>122.03</v>
      </c>
    </row>
    <row r="683" spans="1:20" s="9" customFormat="1" x14ac:dyDescent="0.25">
      <c r="A683" s="98">
        <v>74</v>
      </c>
      <c r="B683" s="32">
        <v>44026</v>
      </c>
      <c r="C683" s="29" t="s">
        <v>11</v>
      </c>
      <c r="D683" s="32">
        <v>44026</v>
      </c>
      <c r="E683" s="148"/>
      <c r="F683" s="14"/>
      <c r="G683" s="73" t="s">
        <v>588</v>
      </c>
      <c r="H683" s="73">
        <v>2</v>
      </c>
      <c r="I683" s="73"/>
      <c r="J683" s="73">
        <f>+'INVENTARIO ENERO-MARZO 2021'!$H683-'INVENTARIO ENERO-MARZO 2021'!$I683</f>
        <v>2</v>
      </c>
      <c r="K683" s="73"/>
      <c r="L683" s="73"/>
      <c r="M683" s="73"/>
      <c r="N683" s="73"/>
      <c r="O683" s="73">
        <f>+Tabla1[[#This Row],[STOCK    FISICO ENERO 2021]]-Tabla1[[#This Row],[REQUISICIONES FEBRERO 2021]]</f>
        <v>2</v>
      </c>
      <c r="P683" s="73">
        <f>+Tabla1[[#This Row],[STOCK  FEBRERO 2021]]-Tabla1[[#This Row],[REQUISICIONES MARZO 2021]]+Tabla1[[#This Row],[ENTRADAS MARZO 2021]]</f>
        <v>2</v>
      </c>
      <c r="Q683" s="31" t="s">
        <v>12</v>
      </c>
      <c r="R683" s="35">
        <v>35</v>
      </c>
      <c r="S683" s="36">
        <f t="shared" si="29"/>
        <v>41.3</v>
      </c>
      <c r="T683" s="100">
        <f>Tabla1[[#This Row],[STOCK MARZO ]]*Tabla1[[#This Row],[COSTO UNITARIO SIN ITBIS]]</f>
        <v>70</v>
      </c>
    </row>
    <row r="684" spans="1:20" s="9" customFormat="1" x14ac:dyDescent="0.25">
      <c r="A684" s="98">
        <v>75</v>
      </c>
      <c r="B684" s="32"/>
      <c r="C684" s="29" t="s">
        <v>11</v>
      </c>
      <c r="D684" s="32"/>
      <c r="E684" s="148"/>
      <c r="F684" s="14"/>
      <c r="G684" s="33" t="s">
        <v>730</v>
      </c>
      <c r="H684" s="64">
        <v>2</v>
      </c>
      <c r="I684" s="64"/>
      <c r="J684" s="64">
        <f>+'INVENTARIO ENERO-MARZO 2021'!$H684-'INVENTARIO ENERO-MARZO 2021'!$I684</f>
        <v>2</v>
      </c>
      <c r="K684" s="64"/>
      <c r="L684" s="64"/>
      <c r="M684" s="64"/>
      <c r="N684" s="64"/>
      <c r="O684" s="64">
        <f>+Tabla1[[#This Row],[STOCK    FISICO ENERO 2021]]-Tabla1[[#This Row],[REQUISICIONES FEBRERO 2021]]</f>
        <v>2</v>
      </c>
      <c r="P684" s="64">
        <f>+Tabla1[[#This Row],[STOCK  FEBRERO 2021]]-Tabla1[[#This Row],[REQUISICIONES MARZO 2021]]+Tabla1[[#This Row],[ENTRADAS MARZO 2021]]</f>
        <v>2</v>
      </c>
      <c r="Q684" s="31" t="s">
        <v>12</v>
      </c>
      <c r="R684" s="35"/>
      <c r="S684" s="36"/>
      <c r="T684" s="100">
        <f>Tabla1[[#This Row],[STOCK MARZO ]]*Tabla1[[#This Row],[COSTO UNITARIO SIN ITBIS]]</f>
        <v>0</v>
      </c>
    </row>
    <row r="685" spans="1:20" s="9" customFormat="1" x14ac:dyDescent="0.25">
      <c r="A685" s="98">
        <v>76</v>
      </c>
      <c r="B685" s="76">
        <v>44026</v>
      </c>
      <c r="C685" s="29" t="s">
        <v>11</v>
      </c>
      <c r="D685" s="76">
        <v>44026</v>
      </c>
      <c r="E685" s="156"/>
      <c r="F685" s="14" t="s">
        <v>23</v>
      </c>
      <c r="G685" s="77" t="s">
        <v>725</v>
      </c>
      <c r="H685" s="74">
        <v>8</v>
      </c>
      <c r="I685" s="74"/>
      <c r="J685" s="74">
        <f>+'INVENTARIO ENERO-MARZO 2021'!$H685-'INVENTARIO ENERO-MARZO 2021'!$I685</f>
        <v>8</v>
      </c>
      <c r="K685" s="74"/>
      <c r="L685" s="74"/>
      <c r="M685" s="74"/>
      <c r="N685" s="74">
        <v>2</v>
      </c>
      <c r="O685" s="74">
        <f>+Tabla1[[#This Row],[STOCK    FISICO ENERO 2021]]-Tabla1[[#This Row],[REQUISICIONES FEBRERO 2021]]</f>
        <v>8</v>
      </c>
      <c r="P685" s="74">
        <f>+Tabla1[[#This Row],[STOCK  FEBRERO 2021]]-Tabla1[[#This Row],[REQUISICIONES MARZO 2021]]+Tabla1[[#This Row],[ENTRADAS MARZO 2021]]</f>
        <v>6</v>
      </c>
      <c r="Q685" s="75" t="s">
        <v>112</v>
      </c>
      <c r="R685" s="78">
        <v>50</v>
      </c>
      <c r="S685" s="36">
        <f t="shared" ref="S685:S708" si="30">R685*0.18+R685</f>
        <v>59</v>
      </c>
      <c r="T685" s="100">
        <f>Tabla1[[#This Row],[STOCK MARZO ]]*Tabla1[[#This Row],[COSTO UNITARIO SIN ITBIS]]</f>
        <v>300</v>
      </c>
    </row>
    <row r="686" spans="1:20" s="9" customFormat="1" x14ac:dyDescent="0.25">
      <c r="A686" s="98">
        <v>77</v>
      </c>
      <c r="B686" s="32">
        <v>44169</v>
      </c>
      <c r="C686" s="29" t="s">
        <v>11</v>
      </c>
      <c r="D686" s="82">
        <v>44147</v>
      </c>
      <c r="E686" s="157"/>
      <c r="F686" s="14">
        <v>1283</v>
      </c>
      <c r="G686" s="77" t="s">
        <v>726</v>
      </c>
      <c r="H686" s="74">
        <v>1</v>
      </c>
      <c r="I686" s="74"/>
      <c r="J686" s="74">
        <f>+'INVENTARIO ENERO-MARZO 2021'!$H686-'INVENTARIO ENERO-MARZO 2021'!$I686</f>
        <v>1</v>
      </c>
      <c r="K686" s="74"/>
      <c r="L686" s="74"/>
      <c r="M686" s="74"/>
      <c r="N686" s="74"/>
      <c r="O686" s="74">
        <f>+Tabla1[[#This Row],[STOCK    FISICO ENERO 2021]]-Tabla1[[#This Row],[REQUISICIONES FEBRERO 2021]]</f>
        <v>1</v>
      </c>
      <c r="P686" s="74">
        <f>+Tabla1[[#This Row],[STOCK  FEBRERO 2021]]-Tabla1[[#This Row],[REQUISICIONES MARZO 2021]]+Tabla1[[#This Row],[ENTRADAS MARZO 2021]]</f>
        <v>1</v>
      </c>
      <c r="Q686" s="31" t="s">
        <v>12</v>
      </c>
      <c r="R686" s="78">
        <v>0</v>
      </c>
      <c r="S686" s="36">
        <f t="shared" si="30"/>
        <v>0</v>
      </c>
      <c r="T686" s="100">
        <f>Tabla1[[#This Row],[STOCK MARZO ]]*Tabla1[[#This Row],[COSTO UNITARIO SIN ITBIS]]</f>
        <v>0</v>
      </c>
    </row>
    <row r="687" spans="1:20" s="9" customFormat="1" x14ac:dyDescent="0.25">
      <c r="A687" s="98">
        <v>78</v>
      </c>
      <c r="B687" s="73"/>
      <c r="C687" s="29" t="s">
        <v>11</v>
      </c>
      <c r="D687" s="73"/>
      <c r="E687" s="158"/>
      <c r="F687" s="14">
        <v>1727</v>
      </c>
      <c r="G687" s="77" t="s">
        <v>589</v>
      </c>
      <c r="H687" s="74">
        <v>2</v>
      </c>
      <c r="I687" s="74"/>
      <c r="J687" s="74">
        <f>+'INVENTARIO ENERO-MARZO 2021'!$H687-'INVENTARIO ENERO-MARZO 2021'!$I687</f>
        <v>2</v>
      </c>
      <c r="K687" s="74"/>
      <c r="L687" s="74"/>
      <c r="M687" s="74"/>
      <c r="N687" s="74"/>
      <c r="O687" s="74">
        <f>+Tabla1[[#This Row],[STOCK    FISICO ENERO 2021]]-Tabla1[[#This Row],[REQUISICIONES FEBRERO 2021]]</f>
        <v>2</v>
      </c>
      <c r="P687" s="74">
        <f>+Tabla1[[#This Row],[STOCK  FEBRERO 2021]]-Tabla1[[#This Row],[REQUISICIONES MARZO 2021]]+Tabla1[[#This Row],[ENTRADAS MARZO 2021]]</f>
        <v>2</v>
      </c>
      <c r="Q687" s="75" t="s">
        <v>12</v>
      </c>
      <c r="R687" s="78">
        <v>375</v>
      </c>
      <c r="S687" s="36">
        <f t="shared" si="30"/>
        <v>442.5</v>
      </c>
      <c r="T687" s="100">
        <f>Tabla1[[#This Row],[STOCK MARZO ]]*Tabla1[[#This Row],[COSTO UNITARIO SIN ITBIS]]</f>
        <v>750</v>
      </c>
    </row>
    <row r="688" spans="1:20" s="9" customFormat="1" x14ac:dyDescent="0.25">
      <c r="A688" s="98">
        <v>79</v>
      </c>
      <c r="B688" s="73"/>
      <c r="C688" s="29" t="s">
        <v>11</v>
      </c>
      <c r="D688" s="73"/>
      <c r="E688" s="158"/>
      <c r="F688" s="29">
        <v>1726</v>
      </c>
      <c r="G688" s="77" t="s">
        <v>590</v>
      </c>
      <c r="H688" s="74">
        <v>70</v>
      </c>
      <c r="I688" s="74"/>
      <c r="J688" s="74">
        <f>+'INVENTARIO ENERO-MARZO 2021'!$H688-'INVENTARIO ENERO-MARZO 2021'!$I688</f>
        <v>70</v>
      </c>
      <c r="K688" s="74"/>
      <c r="L688" s="74"/>
      <c r="M688" s="74"/>
      <c r="N688" s="74"/>
      <c r="O688" s="74">
        <f>+Tabla1[[#This Row],[STOCK    FISICO ENERO 2021]]-Tabla1[[#This Row],[REQUISICIONES FEBRERO 2021]]</f>
        <v>70</v>
      </c>
      <c r="P688" s="74">
        <f>+Tabla1[[#This Row],[STOCK  FEBRERO 2021]]-Tabla1[[#This Row],[REQUISICIONES MARZO 2021]]+Tabla1[[#This Row],[ENTRADAS MARZO 2021]]</f>
        <v>70</v>
      </c>
      <c r="Q688" s="75" t="s">
        <v>12</v>
      </c>
      <c r="R688" s="78">
        <v>0.25</v>
      </c>
      <c r="S688" s="36">
        <f t="shared" si="30"/>
        <v>0.29499999999999998</v>
      </c>
      <c r="T688" s="100">
        <f>Tabla1[[#This Row],[STOCK MARZO ]]*Tabla1[[#This Row],[COSTO UNITARIO SIN ITBIS]]</f>
        <v>17.5</v>
      </c>
    </row>
    <row r="689" spans="1:20" s="9" customFormat="1" x14ac:dyDescent="0.25">
      <c r="A689" s="98">
        <v>80</v>
      </c>
      <c r="B689" s="73"/>
      <c r="C689" s="29" t="s">
        <v>11</v>
      </c>
      <c r="D689" s="73"/>
      <c r="E689" s="158"/>
      <c r="F689" s="14">
        <v>1441</v>
      </c>
      <c r="G689" s="33" t="s">
        <v>591</v>
      </c>
      <c r="H689" s="64">
        <v>70</v>
      </c>
      <c r="I689" s="64"/>
      <c r="J689" s="64">
        <f>+'INVENTARIO ENERO-MARZO 2021'!$H689-'INVENTARIO ENERO-MARZO 2021'!$I689</f>
        <v>70</v>
      </c>
      <c r="K689" s="64"/>
      <c r="L689" s="64"/>
      <c r="M689" s="64"/>
      <c r="N689" s="64"/>
      <c r="O689" s="64">
        <f>+Tabla1[[#This Row],[STOCK    FISICO ENERO 2021]]-Tabla1[[#This Row],[REQUISICIONES FEBRERO 2021]]</f>
        <v>70</v>
      </c>
      <c r="P689" s="64">
        <f>+Tabla1[[#This Row],[STOCK  FEBRERO 2021]]-Tabla1[[#This Row],[REQUISICIONES MARZO 2021]]+Tabla1[[#This Row],[ENTRADAS MARZO 2021]]</f>
        <v>70</v>
      </c>
      <c r="Q689" s="31" t="s">
        <v>12</v>
      </c>
      <c r="R689" s="35">
        <v>0.35</v>
      </c>
      <c r="S689" s="36">
        <f t="shared" si="30"/>
        <v>0.41299999999999998</v>
      </c>
      <c r="T689" s="100">
        <f>Tabla1[[#This Row],[STOCK MARZO ]]*Tabla1[[#This Row],[COSTO UNITARIO SIN ITBIS]]</f>
        <v>24.5</v>
      </c>
    </row>
    <row r="690" spans="1:20" s="9" customFormat="1" x14ac:dyDescent="0.25">
      <c r="A690" s="98">
        <v>81</v>
      </c>
      <c r="B690" s="73"/>
      <c r="C690" s="29" t="s">
        <v>11</v>
      </c>
      <c r="D690" s="73"/>
      <c r="E690" s="158"/>
      <c r="F690" s="29" t="s">
        <v>23</v>
      </c>
      <c r="G690" s="77" t="s">
        <v>592</v>
      </c>
      <c r="H690" s="74">
        <v>7</v>
      </c>
      <c r="I690" s="74"/>
      <c r="J690" s="74">
        <f>+'INVENTARIO ENERO-MARZO 2021'!$H690-'INVENTARIO ENERO-MARZO 2021'!$I690</f>
        <v>7</v>
      </c>
      <c r="K690" s="74"/>
      <c r="L690" s="74"/>
      <c r="M690" s="74"/>
      <c r="N690" s="74"/>
      <c r="O690" s="74">
        <f>+Tabla1[[#This Row],[STOCK    FISICO ENERO 2021]]-Tabla1[[#This Row],[REQUISICIONES FEBRERO 2021]]</f>
        <v>7</v>
      </c>
      <c r="P690" s="74">
        <f>+Tabla1[[#This Row],[STOCK  FEBRERO 2021]]-Tabla1[[#This Row],[REQUISICIONES MARZO 2021]]+Tabla1[[#This Row],[ENTRADAS MARZO 2021]]</f>
        <v>7</v>
      </c>
      <c r="Q690" s="75" t="s">
        <v>12</v>
      </c>
      <c r="R690" s="78">
        <v>12.5</v>
      </c>
      <c r="S690" s="36">
        <f t="shared" si="30"/>
        <v>14.75</v>
      </c>
      <c r="T690" s="100">
        <f>Tabla1[[#This Row],[STOCK MARZO ]]*Tabla1[[#This Row],[COSTO UNITARIO SIN ITBIS]]</f>
        <v>87.5</v>
      </c>
    </row>
    <row r="691" spans="1:20" s="15" customFormat="1" x14ac:dyDescent="0.25">
      <c r="A691" s="98">
        <v>82</v>
      </c>
      <c r="B691" s="32">
        <v>44027</v>
      </c>
      <c r="C691" s="29" t="s">
        <v>11</v>
      </c>
      <c r="D691" s="32">
        <v>44027</v>
      </c>
      <c r="E691" s="148"/>
      <c r="F691" s="29">
        <v>1772</v>
      </c>
      <c r="G691" s="33" t="s">
        <v>593</v>
      </c>
      <c r="H691" s="64">
        <v>18</v>
      </c>
      <c r="I691" s="64"/>
      <c r="J691" s="64">
        <f>+'INVENTARIO ENERO-MARZO 2021'!$H691-'INVENTARIO ENERO-MARZO 2021'!$I691</f>
        <v>18</v>
      </c>
      <c r="K691" s="64"/>
      <c r="L691" s="64"/>
      <c r="M691" s="64"/>
      <c r="N691" s="64"/>
      <c r="O691" s="64">
        <f>+Tabla1[[#This Row],[STOCK    FISICO ENERO 2021]]-Tabla1[[#This Row],[REQUISICIONES FEBRERO 2021]]</f>
        <v>18</v>
      </c>
      <c r="P691" s="64">
        <f>+Tabla1[[#This Row],[STOCK  FEBRERO 2021]]-Tabla1[[#This Row],[REQUISICIONES MARZO 2021]]+Tabla1[[#This Row],[ENTRADAS MARZO 2021]]</f>
        <v>18</v>
      </c>
      <c r="Q691" s="75" t="s">
        <v>12</v>
      </c>
      <c r="R691" s="35">
        <v>0</v>
      </c>
      <c r="S691" s="36">
        <f t="shared" si="30"/>
        <v>0</v>
      </c>
      <c r="T691" s="100">
        <f>Tabla1[[#This Row],[STOCK MARZO ]]*Tabla1[[#This Row],[COSTO UNITARIO SIN ITBIS]]</f>
        <v>0</v>
      </c>
    </row>
    <row r="692" spans="1:20" s="15" customFormat="1" x14ac:dyDescent="0.25">
      <c r="A692" s="98">
        <v>83</v>
      </c>
      <c r="B692" s="76">
        <v>44027</v>
      </c>
      <c r="C692" s="29" t="s">
        <v>11</v>
      </c>
      <c r="D692" s="76">
        <v>44027</v>
      </c>
      <c r="E692" s="156"/>
      <c r="F692" s="29">
        <v>1825</v>
      </c>
      <c r="G692" s="77" t="s">
        <v>727</v>
      </c>
      <c r="H692" s="74">
        <v>1</v>
      </c>
      <c r="I692" s="74"/>
      <c r="J692" s="74">
        <f>+'INVENTARIO ENERO-MARZO 2021'!$H692-'INVENTARIO ENERO-MARZO 2021'!$I692</f>
        <v>1</v>
      </c>
      <c r="K692" s="74"/>
      <c r="L692" s="74"/>
      <c r="M692" s="74"/>
      <c r="N692" s="74"/>
      <c r="O692" s="74">
        <f>+Tabla1[[#This Row],[STOCK    FISICO ENERO 2021]]-Tabla1[[#This Row],[REQUISICIONES FEBRERO 2021]]</f>
        <v>1</v>
      </c>
      <c r="P692" s="74">
        <f>+Tabla1[[#This Row],[STOCK  FEBRERO 2021]]-Tabla1[[#This Row],[REQUISICIONES MARZO 2021]]+Tabla1[[#This Row],[ENTRADAS MARZO 2021]]</f>
        <v>1</v>
      </c>
      <c r="Q692" s="31" t="s">
        <v>112</v>
      </c>
      <c r="R692" s="78">
        <v>0</v>
      </c>
      <c r="S692" s="36">
        <f t="shared" si="30"/>
        <v>0</v>
      </c>
      <c r="T692" s="100">
        <f>Tabla1[[#This Row],[STOCK MARZO ]]*Tabla1[[#This Row],[COSTO UNITARIO SIN ITBIS]]</f>
        <v>0</v>
      </c>
    </row>
    <row r="693" spans="1:20" s="15" customFormat="1" x14ac:dyDescent="0.25">
      <c r="A693" s="98">
        <v>84</v>
      </c>
      <c r="B693" s="76"/>
      <c r="C693" s="29" t="s">
        <v>11</v>
      </c>
      <c r="D693" s="76"/>
      <c r="E693" s="156"/>
      <c r="F693" s="14"/>
      <c r="G693" s="33" t="s">
        <v>594</v>
      </c>
      <c r="H693" s="64">
        <v>4</v>
      </c>
      <c r="I693" s="64">
        <v>1</v>
      </c>
      <c r="J693" s="64">
        <f>+'INVENTARIO ENERO-MARZO 2021'!$H693-'INVENTARIO ENERO-MARZO 2021'!$I693</f>
        <v>3</v>
      </c>
      <c r="K693" s="64"/>
      <c r="L693" s="64"/>
      <c r="M693" s="64">
        <v>1</v>
      </c>
      <c r="N693" s="64">
        <f>1+1</f>
        <v>2</v>
      </c>
      <c r="O693" s="64">
        <f>+Tabla1[[#This Row],[STOCK    FISICO ENERO 2021]]-Tabla1[[#This Row],[REQUISICIONES FEBRERO 2021]]</f>
        <v>2</v>
      </c>
      <c r="P693" s="64">
        <f>+Tabla1[[#This Row],[STOCK  FEBRERO 2021]]-Tabla1[[#This Row],[REQUISICIONES MARZO 2021]]+Tabla1[[#This Row],[ENTRADAS MARZO 2021]]</f>
        <v>0</v>
      </c>
      <c r="Q693" s="31" t="s">
        <v>112</v>
      </c>
      <c r="R693" s="35">
        <v>35.42</v>
      </c>
      <c r="S693" s="36">
        <f t="shared" si="30"/>
        <v>41.7956</v>
      </c>
      <c r="T693" s="100">
        <f>Tabla1[[#This Row],[STOCK MARZO ]]*Tabla1[[#This Row],[COSTO UNITARIO SIN ITBIS]]</f>
        <v>0</v>
      </c>
    </row>
    <row r="694" spans="1:20" s="15" customFormat="1" x14ac:dyDescent="0.25">
      <c r="A694" s="98">
        <v>85</v>
      </c>
      <c r="B694" s="32">
        <v>44027</v>
      </c>
      <c r="C694" s="29" t="s">
        <v>11</v>
      </c>
      <c r="D694" s="32">
        <v>44027</v>
      </c>
      <c r="E694" s="148"/>
      <c r="F694" s="14"/>
      <c r="G694" s="77" t="s">
        <v>595</v>
      </c>
      <c r="H694" s="74">
        <v>202</v>
      </c>
      <c r="I694" s="74"/>
      <c r="J694" s="74">
        <f>+'INVENTARIO ENERO-MARZO 2021'!$H694-'INVENTARIO ENERO-MARZO 2021'!$I694</f>
        <v>202</v>
      </c>
      <c r="K694" s="74"/>
      <c r="L694" s="74"/>
      <c r="M694" s="74">
        <f>2+4</f>
        <v>6</v>
      </c>
      <c r="N694" s="74"/>
      <c r="O694" s="74">
        <f>+Tabla1[[#This Row],[STOCK    FISICO ENERO 2021]]-Tabla1[[#This Row],[REQUISICIONES FEBRERO 2021]]</f>
        <v>196</v>
      </c>
      <c r="P694" s="74">
        <f>+Tabla1[[#This Row],[STOCK  FEBRERO 2021]]-Tabla1[[#This Row],[REQUISICIONES MARZO 2021]]+Tabla1[[#This Row],[ENTRADAS MARZO 2021]]</f>
        <v>196</v>
      </c>
      <c r="Q694" s="75" t="s">
        <v>112</v>
      </c>
      <c r="R694" s="78">
        <v>2</v>
      </c>
      <c r="S694" s="36">
        <f t="shared" si="30"/>
        <v>2.36</v>
      </c>
      <c r="T694" s="100">
        <f>Tabla1[[#This Row],[STOCK MARZO ]]*Tabla1[[#This Row],[COSTO UNITARIO SIN ITBIS]]</f>
        <v>392</v>
      </c>
    </row>
    <row r="695" spans="1:20" s="15" customFormat="1" x14ac:dyDescent="0.25">
      <c r="A695" s="98">
        <v>86</v>
      </c>
      <c r="B695" s="76">
        <v>43453</v>
      </c>
      <c r="C695" s="29" t="s">
        <v>11</v>
      </c>
      <c r="D695" s="76">
        <v>43453</v>
      </c>
      <c r="E695" s="156"/>
      <c r="F695" s="14"/>
      <c r="G695" s="77" t="s">
        <v>596</v>
      </c>
      <c r="H695" s="74">
        <v>1</v>
      </c>
      <c r="I695" s="74"/>
      <c r="J695" s="74">
        <f>+'INVENTARIO ENERO-MARZO 2021'!$H695-'INVENTARIO ENERO-MARZO 2021'!$I695</f>
        <v>1</v>
      </c>
      <c r="K695" s="74"/>
      <c r="L695" s="74"/>
      <c r="M695" s="74"/>
      <c r="N695" s="74"/>
      <c r="O695" s="74">
        <f>+Tabla1[[#This Row],[STOCK    FISICO ENERO 2021]]-Tabla1[[#This Row],[REQUISICIONES FEBRERO 2021]]</f>
        <v>1</v>
      </c>
      <c r="P695" s="74">
        <f>+Tabla1[[#This Row],[STOCK  FEBRERO 2021]]-Tabla1[[#This Row],[REQUISICIONES MARZO 2021]]+Tabla1[[#This Row],[ENTRADAS MARZO 2021]]</f>
        <v>1</v>
      </c>
      <c r="Q695" s="75" t="s">
        <v>112</v>
      </c>
      <c r="R695" s="78">
        <v>38449.1</v>
      </c>
      <c r="S695" s="36">
        <f t="shared" si="30"/>
        <v>45369.937999999995</v>
      </c>
      <c r="T695" s="100">
        <f>Tabla1[[#This Row],[STOCK MARZO ]]*Tabla1[[#This Row],[COSTO UNITARIO SIN ITBIS]]</f>
        <v>38449.1</v>
      </c>
    </row>
    <row r="696" spans="1:20" s="9" customFormat="1" x14ac:dyDescent="0.25">
      <c r="A696" s="98">
        <v>87</v>
      </c>
      <c r="B696" s="32">
        <v>44110</v>
      </c>
      <c r="C696" s="29" t="s">
        <v>11</v>
      </c>
      <c r="D696" s="32">
        <v>44110</v>
      </c>
      <c r="E696" s="148"/>
      <c r="F696" s="14">
        <v>1579</v>
      </c>
      <c r="G696" s="77" t="s">
        <v>597</v>
      </c>
      <c r="H696" s="74">
        <v>0</v>
      </c>
      <c r="I696" s="74">
        <v>3</v>
      </c>
      <c r="J696" s="74">
        <f>+'INVENTARIO ENERO-MARZO 2021'!$H696-'INVENTARIO ENERO-MARZO 2021'!$I696+3</f>
        <v>0</v>
      </c>
      <c r="K696" s="74"/>
      <c r="L696" s="74"/>
      <c r="M696" s="74"/>
      <c r="N696" s="74"/>
      <c r="O696" s="74">
        <f>+Tabla1[[#This Row],[STOCK    FISICO ENERO 2021]]-Tabla1[[#This Row],[REQUISICIONES FEBRERO 2021]]</f>
        <v>0</v>
      </c>
      <c r="P696" s="74">
        <f>+Tabla1[[#This Row],[STOCK  FEBRERO 2021]]-Tabla1[[#This Row],[REQUISICIONES MARZO 2021]]+Tabla1[[#This Row],[ENTRADAS MARZO 2021]]</f>
        <v>0</v>
      </c>
      <c r="Q696" s="75" t="s">
        <v>112</v>
      </c>
      <c r="R696" s="78">
        <v>10.199999999999999</v>
      </c>
      <c r="S696" s="36">
        <f t="shared" si="30"/>
        <v>12.036</v>
      </c>
      <c r="T696" s="100">
        <f>Tabla1[[#This Row],[STOCK MARZO ]]*Tabla1[[#This Row],[COSTO UNITARIO SIN ITBIS]]</f>
        <v>0</v>
      </c>
    </row>
    <row r="697" spans="1:20" s="9" customFormat="1" x14ac:dyDescent="0.25">
      <c r="A697" s="98">
        <v>88</v>
      </c>
      <c r="B697" s="76">
        <v>44026</v>
      </c>
      <c r="C697" s="29" t="s">
        <v>11</v>
      </c>
      <c r="D697" s="76">
        <v>44026</v>
      </c>
      <c r="E697" s="156"/>
      <c r="F697" s="14"/>
      <c r="G697" s="77" t="s">
        <v>598</v>
      </c>
      <c r="H697" s="74">
        <v>20</v>
      </c>
      <c r="I697" s="74"/>
      <c r="J697" s="74">
        <f>+'INVENTARIO ENERO-MARZO 2021'!$H697-'INVENTARIO ENERO-MARZO 2021'!$I697</f>
        <v>20</v>
      </c>
      <c r="K697" s="74"/>
      <c r="L697" s="74"/>
      <c r="M697" s="74"/>
      <c r="N697" s="74"/>
      <c r="O697" s="74">
        <f>+Tabla1[[#This Row],[STOCK    FISICO ENERO 2021]]-Tabla1[[#This Row],[REQUISICIONES FEBRERO 2021]]</f>
        <v>20</v>
      </c>
      <c r="P697" s="74">
        <f>+Tabla1[[#This Row],[STOCK  FEBRERO 2021]]-Tabla1[[#This Row],[REQUISICIONES MARZO 2021]]+Tabla1[[#This Row],[ENTRADAS MARZO 2021]]</f>
        <v>20</v>
      </c>
      <c r="Q697" s="75" t="s">
        <v>112</v>
      </c>
      <c r="R697" s="78">
        <v>25</v>
      </c>
      <c r="S697" s="36">
        <f t="shared" si="30"/>
        <v>29.5</v>
      </c>
      <c r="T697" s="100">
        <f>Tabla1[[#This Row],[STOCK MARZO ]]*Tabla1[[#This Row],[COSTO UNITARIO SIN ITBIS]]</f>
        <v>500</v>
      </c>
    </row>
    <row r="698" spans="1:20" s="9" customFormat="1" x14ac:dyDescent="0.25">
      <c r="A698" s="98">
        <v>89</v>
      </c>
      <c r="B698" s="76">
        <v>44028</v>
      </c>
      <c r="C698" s="29" t="s">
        <v>11</v>
      </c>
      <c r="D698" s="76">
        <v>44028</v>
      </c>
      <c r="E698" s="156"/>
      <c r="F698" s="14">
        <v>1553</v>
      </c>
      <c r="G698" s="77" t="s">
        <v>599</v>
      </c>
      <c r="H698" s="74">
        <v>1025</v>
      </c>
      <c r="I698" s="74">
        <f>10+8</f>
        <v>18</v>
      </c>
      <c r="J698" s="74">
        <f>+'INVENTARIO ENERO-MARZO 2021'!$H698-'INVENTARIO ENERO-MARZO 2021'!$I698</f>
        <v>1007</v>
      </c>
      <c r="K698" s="74"/>
      <c r="L698" s="74"/>
      <c r="M698" s="74">
        <v>15</v>
      </c>
      <c r="N698" s="74">
        <f>8+12+10+12+10</f>
        <v>52</v>
      </c>
      <c r="O698" s="74">
        <f>+Tabla1[[#This Row],[STOCK    FISICO ENERO 2021]]-Tabla1[[#This Row],[REQUISICIONES FEBRERO 2021]]</f>
        <v>992</v>
      </c>
      <c r="P698" s="74">
        <f>+Tabla1[[#This Row],[STOCK  FEBRERO 2021]]-Tabla1[[#This Row],[REQUISICIONES MARZO 2021]]+Tabla1[[#This Row],[ENTRADAS MARZO 2021]]</f>
        <v>940</v>
      </c>
      <c r="Q698" s="75" t="s">
        <v>12</v>
      </c>
      <c r="R698" s="78">
        <v>0.71</v>
      </c>
      <c r="S698" s="36">
        <f t="shared" si="30"/>
        <v>0.83779999999999999</v>
      </c>
      <c r="T698" s="100">
        <f>Tabla1[[#This Row],[STOCK MARZO ]]*Tabla1[[#This Row],[COSTO UNITARIO SIN ITBIS]]</f>
        <v>667.4</v>
      </c>
    </row>
    <row r="699" spans="1:20" s="9" customFormat="1" x14ac:dyDescent="0.25">
      <c r="A699" s="98">
        <v>90</v>
      </c>
      <c r="B699" s="76">
        <v>44026</v>
      </c>
      <c r="C699" s="29" t="s">
        <v>11</v>
      </c>
      <c r="D699" s="76">
        <v>44026</v>
      </c>
      <c r="E699" s="156"/>
      <c r="F699" s="29">
        <v>1182</v>
      </c>
      <c r="G699" s="33" t="s">
        <v>600</v>
      </c>
      <c r="H699" s="64">
        <v>0</v>
      </c>
      <c r="I699" s="64"/>
      <c r="J699" s="64">
        <f>+'INVENTARIO ENERO-MARZO 2021'!$H699-'INVENTARIO ENERO-MARZO 2021'!$I699</f>
        <v>0</v>
      </c>
      <c r="K699" s="64"/>
      <c r="L699" s="64"/>
      <c r="M699" s="64"/>
      <c r="N699" s="64"/>
      <c r="O699" s="64">
        <f>+Tabla1[[#This Row],[STOCK    FISICO ENERO 2021]]-Tabla1[[#This Row],[REQUISICIONES FEBRERO 2021]]</f>
        <v>0</v>
      </c>
      <c r="P699" s="64">
        <f>+Tabla1[[#This Row],[STOCK  FEBRERO 2021]]-Tabla1[[#This Row],[REQUISICIONES MARZO 2021]]+Tabla1[[#This Row],[ENTRADAS MARZO 2021]]</f>
        <v>0</v>
      </c>
      <c r="Q699" s="31" t="s">
        <v>12</v>
      </c>
      <c r="R699" s="35">
        <v>23.28</v>
      </c>
      <c r="S699" s="36">
        <f t="shared" si="30"/>
        <v>27.470400000000001</v>
      </c>
      <c r="T699" s="100">
        <f>Tabla1[[#This Row],[STOCK MARZO ]]*Tabla1[[#This Row],[COSTO UNITARIO SIN ITBIS]]</f>
        <v>0</v>
      </c>
    </row>
    <row r="700" spans="1:20" s="9" customFormat="1" x14ac:dyDescent="0.25">
      <c r="A700" s="98">
        <v>91</v>
      </c>
      <c r="B700" s="32">
        <v>43223</v>
      </c>
      <c r="C700" s="29" t="s">
        <v>11</v>
      </c>
      <c r="D700" s="32">
        <v>43223</v>
      </c>
      <c r="E700" s="148"/>
      <c r="F700" s="14">
        <v>1554</v>
      </c>
      <c r="G700" s="77" t="s">
        <v>601</v>
      </c>
      <c r="H700" s="74">
        <v>1400</v>
      </c>
      <c r="I700" s="74"/>
      <c r="J700" s="74">
        <f>+'INVENTARIO ENERO-MARZO 2021'!$H700-'INVENTARIO ENERO-MARZO 2021'!$I700</f>
        <v>1400</v>
      </c>
      <c r="K700" s="74"/>
      <c r="L700" s="74"/>
      <c r="M700" s="74"/>
      <c r="N700" s="74">
        <f>10+10</f>
        <v>20</v>
      </c>
      <c r="O700" s="74">
        <f>+Tabla1[[#This Row],[STOCK    FISICO ENERO 2021]]-Tabla1[[#This Row],[REQUISICIONES FEBRERO 2021]]</f>
        <v>1400</v>
      </c>
      <c r="P700" s="74">
        <f>+Tabla1[[#This Row],[STOCK  FEBRERO 2021]]-Tabla1[[#This Row],[REQUISICIONES MARZO 2021]]+Tabla1[[#This Row],[ENTRADAS MARZO 2021]]</f>
        <v>1380</v>
      </c>
      <c r="Q700" s="75" t="s">
        <v>12</v>
      </c>
      <c r="R700" s="78">
        <v>1.1599999999999999</v>
      </c>
      <c r="S700" s="36">
        <f t="shared" si="30"/>
        <v>1.3687999999999998</v>
      </c>
      <c r="T700" s="100">
        <f>Tabla1[[#This Row],[STOCK MARZO ]]*Tabla1[[#This Row],[COSTO UNITARIO SIN ITBIS]]</f>
        <v>1600.8</v>
      </c>
    </row>
    <row r="701" spans="1:20" s="9" customFormat="1" x14ac:dyDescent="0.25">
      <c r="A701" s="98">
        <v>92</v>
      </c>
      <c r="B701" s="76">
        <v>43223</v>
      </c>
      <c r="C701" s="29" t="s">
        <v>11</v>
      </c>
      <c r="D701" s="76">
        <v>43223</v>
      </c>
      <c r="E701" s="156"/>
      <c r="F701" s="29">
        <v>1552</v>
      </c>
      <c r="G701" s="33" t="s">
        <v>602</v>
      </c>
      <c r="H701" s="64">
        <v>1436</v>
      </c>
      <c r="I701" s="64"/>
      <c r="J701" s="64">
        <f>+'INVENTARIO ENERO-MARZO 2021'!$H701-'INVENTARIO ENERO-MARZO 2021'!$I701</f>
        <v>1436</v>
      </c>
      <c r="K701" s="64"/>
      <c r="L701" s="64"/>
      <c r="M701" s="64"/>
      <c r="N701" s="64">
        <f>20+30</f>
        <v>50</v>
      </c>
      <c r="O701" s="64">
        <f>+Tabla1[[#This Row],[STOCK    FISICO ENERO 2021]]-Tabla1[[#This Row],[REQUISICIONES FEBRERO 2021]]</f>
        <v>1436</v>
      </c>
      <c r="P701" s="64">
        <f>+Tabla1[[#This Row],[STOCK  FEBRERO 2021]]-Tabla1[[#This Row],[REQUISICIONES MARZO 2021]]+Tabla1[[#This Row],[ENTRADAS MARZO 2021]]</f>
        <v>1386</v>
      </c>
      <c r="Q701" s="31" t="s">
        <v>12</v>
      </c>
      <c r="R701" s="35">
        <v>0.56000000000000005</v>
      </c>
      <c r="S701" s="36">
        <f t="shared" si="30"/>
        <v>0.66080000000000005</v>
      </c>
      <c r="T701" s="100">
        <f>Tabla1[[#This Row],[STOCK MARZO ]]*Tabla1[[#This Row],[COSTO UNITARIO SIN ITBIS]]</f>
        <v>776.16000000000008</v>
      </c>
    </row>
    <row r="702" spans="1:20" s="9" customFormat="1" x14ac:dyDescent="0.25">
      <c r="A702" s="98">
        <v>93</v>
      </c>
      <c r="B702" s="32">
        <v>43223</v>
      </c>
      <c r="C702" s="29" t="s">
        <v>11</v>
      </c>
      <c r="D702" s="32">
        <v>43223</v>
      </c>
      <c r="E702" s="148"/>
      <c r="F702" s="29">
        <v>1544</v>
      </c>
      <c r="G702" s="33" t="s">
        <v>603</v>
      </c>
      <c r="H702" s="64">
        <v>46</v>
      </c>
      <c r="I702" s="64"/>
      <c r="J702" s="64">
        <f>+'INVENTARIO ENERO-MARZO 2021'!$H702-'INVENTARIO ENERO-MARZO 2021'!$I702</f>
        <v>46</v>
      </c>
      <c r="K702" s="64"/>
      <c r="L702" s="64"/>
      <c r="M702" s="64"/>
      <c r="N702" s="64">
        <v>4</v>
      </c>
      <c r="O702" s="64">
        <f>+Tabla1[[#This Row],[STOCK    FISICO ENERO 2021]]-Tabla1[[#This Row],[REQUISICIONES FEBRERO 2021]]</f>
        <v>46</v>
      </c>
      <c r="P702" s="64">
        <f>+Tabla1[[#This Row],[STOCK  FEBRERO 2021]]-Tabla1[[#This Row],[REQUISICIONES MARZO 2021]]+Tabla1[[#This Row],[ENTRADAS MARZO 2021]]</f>
        <v>42</v>
      </c>
      <c r="Q702" s="31" t="s">
        <v>12</v>
      </c>
      <c r="R702" s="35">
        <v>30.51</v>
      </c>
      <c r="S702" s="36">
        <f t="shared" si="30"/>
        <v>36.001800000000003</v>
      </c>
      <c r="T702" s="100">
        <f>Tabla1[[#This Row],[STOCK MARZO ]]*Tabla1[[#This Row],[COSTO UNITARIO SIN ITBIS]]</f>
        <v>1281.42</v>
      </c>
    </row>
    <row r="703" spans="1:20" s="9" customFormat="1" x14ac:dyDescent="0.25">
      <c r="A703" s="98">
        <v>94</v>
      </c>
      <c r="B703" s="32">
        <v>43075</v>
      </c>
      <c r="C703" s="29" t="s">
        <v>11</v>
      </c>
      <c r="D703" s="32">
        <v>43075</v>
      </c>
      <c r="E703" s="148"/>
      <c r="F703" s="14"/>
      <c r="G703" s="77" t="s">
        <v>728</v>
      </c>
      <c r="H703" s="74">
        <v>15</v>
      </c>
      <c r="I703" s="74"/>
      <c r="J703" s="74">
        <f>+'INVENTARIO ENERO-MARZO 2021'!$H703-'INVENTARIO ENERO-MARZO 2021'!$I703</f>
        <v>15</v>
      </c>
      <c r="K703" s="74"/>
      <c r="L703" s="74"/>
      <c r="M703" s="74"/>
      <c r="N703" s="74"/>
      <c r="O703" s="74">
        <f>+Tabla1[[#This Row],[STOCK    FISICO ENERO 2021]]-Tabla1[[#This Row],[REQUISICIONES FEBRERO 2021]]</f>
        <v>15</v>
      </c>
      <c r="P703" s="74">
        <f>+Tabla1[[#This Row],[STOCK  FEBRERO 2021]]-Tabla1[[#This Row],[REQUISICIONES MARZO 2021]]+Tabla1[[#This Row],[ENTRADAS MARZO 2021]]</f>
        <v>15</v>
      </c>
      <c r="Q703" s="75" t="s">
        <v>112</v>
      </c>
      <c r="R703" s="78">
        <v>250</v>
      </c>
      <c r="S703" s="36">
        <f t="shared" si="30"/>
        <v>295</v>
      </c>
      <c r="T703" s="100">
        <f>Tabla1[[#This Row],[STOCK MARZO ]]*Tabla1[[#This Row],[COSTO UNITARIO SIN ITBIS]]</f>
        <v>3750</v>
      </c>
    </row>
    <row r="704" spans="1:20" s="9" customFormat="1" x14ac:dyDescent="0.25">
      <c r="A704" s="98">
        <v>95</v>
      </c>
      <c r="B704" s="76">
        <v>44026</v>
      </c>
      <c r="C704" s="29" t="s">
        <v>11</v>
      </c>
      <c r="D704" s="76">
        <v>44026</v>
      </c>
      <c r="E704" s="156"/>
      <c r="F704" s="14">
        <v>1234</v>
      </c>
      <c r="G704" s="33" t="s">
        <v>731</v>
      </c>
      <c r="H704" s="64">
        <v>110</v>
      </c>
      <c r="I704" s="64"/>
      <c r="J704" s="64">
        <f>+'INVENTARIO ENERO-MARZO 2021'!$H704-'INVENTARIO ENERO-MARZO 2021'!$I704</f>
        <v>110</v>
      </c>
      <c r="K704" s="64"/>
      <c r="L704" s="64"/>
      <c r="M704" s="64"/>
      <c r="N704" s="64"/>
      <c r="O704" s="64">
        <f>+Tabla1[[#This Row],[STOCK    FISICO ENERO 2021]]-Tabla1[[#This Row],[REQUISICIONES FEBRERO 2021]]</f>
        <v>110</v>
      </c>
      <c r="P704" s="64">
        <f>+Tabla1[[#This Row],[STOCK  FEBRERO 2021]]-Tabla1[[#This Row],[REQUISICIONES MARZO 2021]]+Tabla1[[#This Row],[ENTRADAS MARZO 2021]]</f>
        <v>110</v>
      </c>
      <c r="Q704" s="31" t="s">
        <v>12</v>
      </c>
      <c r="R704" s="35">
        <v>9.18</v>
      </c>
      <c r="S704" s="36">
        <f t="shared" si="30"/>
        <v>10.8324</v>
      </c>
      <c r="T704" s="100">
        <f>Tabla1[[#This Row],[STOCK MARZO ]]*Tabla1[[#This Row],[COSTO UNITARIO SIN ITBIS]]</f>
        <v>1009.8</v>
      </c>
    </row>
    <row r="705" spans="1:20" s="9" customFormat="1" x14ac:dyDescent="0.25">
      <c r="A705" s="98">
        <v>96</v>
      </c>
      <c r="B705" s="32">
        <v>44026</v>
      </c>
      <c r="C705" s="29" t="s">
        <v>11</v>
      </c>
      <c r="D705" s="32">
        <v>44026</v>
      </c>
      <c r="E705" s="148"/>
      <c r="F705" s="29">
        <v>1233</v>
      </c>
      <c r="G705" s="33" t="s">
        <v>604</v>
      </c>
      <c r="H705" s="64">
        <v>0</v>
      </c>
      <c r="I705" s="64"/>
      <c r="J705" s="64">
        <f>+'INVENTARIO ENERO-MARZO 2021'!$H705-'INVENTARIO ENERO-MARZO 2021'!$I705</f>
        <v>0</v>
      </c>
      <c r="K705" s="64"/>
      <c r="L705" s="64"/>
      <c r="M705" s="64"/>
      <c r="N705" s="64"/>
      <c r="O705" s="64">
        <f>+Tabla1[[#This Row],[STOCK    FISICO ENERO 2021]]-Tabla1[[#This Row],[REQUISICIONES FEBRERO 2021]]</f>
        <v>0</v>
      </c>
      <c r="P705" s="64">
        <f>+Tabla1[[#This Row],[STOCK  FEBRERO 2021]]-Tabla1[[#This Row],[REQUISICIONES MARZO 2021]]+Tabla1[[#This Row],[ENTRADAS MARZO 2021]]</f>
        <v>0</v>
      </c>
      <c r="Q705" s="31" t="s">
        <v>12</v>
      </c>
      <c r="R705" s="35">
        <v>4.57</v>
      </c>
      <c r="S705" s="36">
        <f t="shared" si="30"/>
        <v>5.3925999999999998</v>
      </c>
      <c r="T705" s="100">
        <f>Tabla1[[#This Row],[STOCK MARZO ]]*Tabla1[[#This Row],[COSTO UNITARIO SIN ITBIS]]</f>
        <v>0</v>
      </c>
    </row>
    <row r="706" spans="1:20" s="9" customFormat="1" x14ac:dyDescent="0.25">
      <c r="A706" s="98">
        <v>97</v>
      </c>
      <c r="B706" s="32"/>
      <c r="C706" s="29" t="s">
        <v>11</v>
      </c>
      <c r="D706" s="32"/>
      <c r="E706" s="148"/>
      <c r="F706" s="14">
        <v>1533</v>
      </c>
      <c r="G706" s="77" t="s">
        <v>605</v>
      </c>
      <c r="H706" s="74">
        <v>0</v>
      </c>
      <c r="I706" s="74"/>
      <c r="J706" s="74">
        <f>+'INVENTARIO ENERO-MARZO 2021'!$H706-'INVENTARIO ENERO-MARZO 2021'!$I706</f>
        <v>0</v>
      </c>
      <c r="K706" s="74"/>
      <c r="L706" s="74"/>
      <c r="M706" s="74"/>
      <c r="N706" s="74"/>
      <c r="O706" s="74">
        <f>+Tabla1[[#This Row],[STOCK    FISICO ENERO 2021]]-Tabla1[[#This Row],[REQUISICIONES FEBRERO 2021]]</f>
        <v>0</v>
      </c>
      <c r="P706" s="74">
        <f>+Tabla1[[#This Row],[STOCK  FEBRERO 2021]]-Tabla1[[#This Row],[REQUISICIONES MARZO 2021]]+Tabla1[[#This Row],[ENTRADAS MARZO 2021]]</f>
        <v>0</v>
      </c>
      <c r="Q706" s="75" t="s">
        <v>12</v>
      </c>
      <c r="R706" s="78">
        <v>3.46</v>
      </c>
      <c r="S706" s="36">
        <f t="shared" si="30"/>
        <v>4.0827999999999998</v>
      </c>
      <c r="T706" s="100">
        <f>Tabla1[[#This Row],[STOCK MARZO ]]*Tabla1[[#This Row],[COSTO UNITARIO SIN ITBIS]]</f>
        <v>0</v>
      </c>
    </row>
    <row r="707" spans="1:20" s="9" customFormat="1" x14ac:dyDescent="0.25">
      <c r="A707" s="98">
        <v>98</v>
      </c>
      <c r="B707" s="32">
        <v>44026</v>
      </c>
      <c r="C707" s="29" t="s">
        <v>11</v>
      </c>
      <c r="D707" s="32">
        <v>44026</v>
      </c>
      <c r="E707" s="148"/>
      <c r="F707" s="29">
        <v>1534</v>
      </c>
      <c r="G707" s="33" t="s">
        <v>606</v>
      </c>
      <c r="H707" s="64">
        <v>60</v>
      </c>
      <c r="I707" s="64"/>
      <c r="J707" s="64">
        <f>+'INVENTARIO ENERO-MARZO 2021'!$H707-'INVENTARIO ENERO-MARZO 2021'!$I707</f>
        <v>60</v>
      </c>
      <c r="K707" s="64"/>
      <c r="L707" s="64"/>
      <c r="M707" s="64"/>
      <c r="N707" s="64"/>
      <c r="O707" s="64">
        <f>+Tabla1[[#This Row],[STOCK    FISICO ENERO 2021]]-Tabla1[[#This Row],[REQUISICIONES FEBRERO 2021]]</f>
        <v>60</v>
      </c>
      <c r="P707" s="64">
        <f>+Tabla1[[#This Row],[STOCK  FEBRERO 2021]]-Tabla1[[#This Row],[REQUISICIONES MARZO 2021]]+Tabla1[[#This Row],[ENTRADAS MARZO 2021]]</f>
        <v>60</v>
      </c>
      <c r="Q707" s="31" t="s">
        <v>12</v>
      </c>
      <c r="R707" s="35">
        <v>3.46</v>
      </c>
      <c r="S707" s="36">
        <f t="shared" si="30"/>
        <v>4.0827999999999998</v>
      </c>
      <c r="T707" s="100">
        <f>Tabla1[[#This Row],[STOCK MARZO ]]*Tabla1[[#This Row],[COSTO UNITARIO SIN ITBIS]]</f>
        <v>207.6</v>
      </c>
    </row>
    <row r="708" spans="1:20" s="9" customFormat="1" x14ac:dyDescent="0.25">
      <c r="A708" s="98">
        <v>99</v>
      </c>
      <c r="B708" s="76">
        <v>43223</v>
      </c>
      <c r="C708" s="29" t="s">
        <v>11</v>
      </c>
      <c r="D708" s="76">
        <v>43223</v>
      </c>
      <c r="E708" s="156"/>
      <c r="F708" s="14">
        <v>1236</v>
      </c>
      <c r="G708" s="77" t="s">
        <v>732</v>
      </c>
      <c r="H708" s="74">
        <v>209</v>
      </c>
      <c r="I708" s="74"/>
      <c r="J708" s="74">
        <f>+'INVENTARIO ENERO-MARZO 2021'!$H708-'INVENTARIO ENERO-MARZO 2021'!$I708</f>
        <v>209</v>
      </c>
      <c r="K708" s="74"/>
      <c r="L708" s="74"/>
      <c r="M708" s="74"/>
      <c r="N708" s="74"/>
      <c r="O708" s="74">
        <f>+Tabla1[[#This Row],[STOCK    FISICO ENERO 2021]]-Tabla1[[#This Row],[REQUISICIONES FEBRERO 2021]]</f>
        <v>209</v>
      </c>
      <c r="P708" s="74">
        <f>+Tabla1[[#This Row],[STOCK  FEBRERO 2021]]-Tabla1[[#This Row],[REQUISICIONES MARZO 2021]]+Tabla1[[#This Row],[ENTRADAS MARZO 2021]]</f>
        <v>209</v>
      </c>
      <c r="Q708" s="75" t="s">
        <v>12</v>
      </c>
      <c r="R708" s="78">
        <v>2</v>
      </c>
      <c r="S708" s="36">
        <f t="shared" si="30"/>
        <v>2.36</v>
      </c>
      <c r="T708" s="100">
        <f>Tabla1[[#This Row],[STOCK MARZO ]]*Tabla1[[#This Row],[COSTO UNITARIO SIN ITBIS]]</f>
        <v>418</v>
      </c>
    </row>
    <row r="709" spans="1:20" s="9" customFormat="1" x14ac:dyDescent="0.25">
      <c r="A709" s="98">
        <v>100</v>
      </c>
      <c r="B709" s="32"/>
      <c r="C709" s="29" t="s">
        <v>11</v>
      </c>
      <c r="D709" s="32"/>
      <c r="E709" s="148"/>
      <c r="F709" s="14"/>
      <c r="G709" s="33" t="s">
        <v>735</v>
      </c>
      <c r="H709" s="64">
        <v>69</v>
      </c>
      <c r="I709" s="64"/>
      <c r="J709" s="64">
        <f>+'INVENTARIO ENERO-MARZO 2021'!$H709-'INVENTARIO ENERO-MARZO 2021'!$I709</f>
        <v>69</v>
      </c>
      <c r="K709" s="64"/>
      <c r="L709" s="64"/>
      <c r="M709" s="64"/>
      <c r="N709" s="64"/>
      <c r="O709" s="64">
        <f>+Tabla1[[#This Row],[STOCK    FISICO ENERO 2021]]-Tabla1[[#This Row],[REQUISICIONES FEBRERO 2021]]</f>
        <v>69</v>
      </c>
      <c r="P709" s="64">
        <f>+Tabla1[[#This Row],[STOCK  FEBRERO 2021]]-Tabla1[[#This Row],[REQUISICIONES MARZO 2021]]+Tabla1[[#This Row],[ENTRADAS MARZO 2021]]</f>
        <v>69</v>
      </c>
      <c r="Q709" s="75" t="s">
        <v>12</v>
      </c>
      <c r="R709" s="35"/>
      <c r="S709" s="36"/>
      <c r="T709" s="100">
        <f>Tabla1[[#This Row],[STOCK MARZO ]]*Tabla1[[#This Row],[COSTO UNITARIO SIN ITBIS]]</f>
        <v>0</v>
      </c>
    </row>
    <row r="710" spans="1:20" s="9" customFormat="1" x14ac:dyDescent="0.25">
      <c r="A710" s="98">
        <v>101</v>
      </c>
      <c r="B710" s="32"/>
      <c r="C710" s="29" t="s">
        <v>11</v>
      </c>
      <c r="D710" s="32"/>
      <c r="E710" s="148"/>
      <c r="F710" s="14"/>
      <c r="G710" s="33" t="s">
        <v>734</v>
      </c>
      <c r="H710" s="64">
        <v>21</v>
      </c>
      <c r="I710" s="64"/>
      <c r="J710" s="64">
        <f>+'INVENTARIO ENERO-MARZO 2021'!$H710-'INVENTARIO ENERO-MARZO 2021'!$I710</f>
        <v>21</v>
      </c>
      <c r="K710" s="64"/>
      <c r="L710" s="64"/>
      <c r="M710" s="64"/>
      <c r="N710" s="64"/>
      <c r="O710" s="64">
        <f>+Tabla1[[#This Row],[STOCK    FISICO ENERO 2021]]-Tabla1[[#This Row],[REQUISICIONES FEBRERO 2021]]</f>
        <v>21</v>
      </c>
      <c r="P710" s="64">
        <f>+Tabla1[[#This Row],[STOCK  FEBRERO 2021]]-Tabla1[[#This Row],[REQUISICIONES MARZO 2021]]+Tabla1[[#This Row],[ENTRADAS MARZO 2021]]</f>
        <v>21</v>
      </c>
      <c r="Q710" s="75" t="s">
        <v>12</v>
      </c>
      <c r="R710" s="35"/>
      <c r="S710" s="36"/>
      <c r="T710" s="100">
        <f>Tabla1[[#This Row],[STOCK MARZO ]]*Tabla1[[#This Row],[COSTO UNITARIO SIN ITBIS]]</f>
        <v>0</v>
      </c>
    </row>
    <row r="711" spans="1:20" s="9" customFormat="1" x14ac:dyDescent="0.25">
      <c r="A711" s="98">
        <v>102</v>
      </c>
      <c r="B711" s="76">
        <v>44168</v>
      </c>
      <c r="C711" s="29" t="s">
        <v>11</v>
      </c>
      <c r="D711" s="76">
        <v>44154</v>
      </c>
      <c r="E711" s="156"/>
      <c r="F711" s="29">
        <v>1526</v>
      </c>
      <c r="G711" s="77" t="s">
        <v>607</v>
      </c>
      <c r="H711" s="74">
        <v>6718</v>
      </c>
      <c r="I711" s="74"/>
      <c r="J711" s="74">
        <f>+'INVENTARIO ENERO-MARZO 2021'!$H711-'INVENTARIO ENERO-MARZO 2021'!$I711</f>
        <v>6718</v>
      </c>
      <c r="K711" s="74"/>
      <c r="L711" s="74"/>
      <c r="M711" s="74">
        <f>15+10</f>
        <v>25</v>
      </c>
      <c r="N711" s="74">
        <f>8+30+12+30</f>
        <v>80</v>
      </c>
      <c r="O711" s="74">
        <f>+Tabla1[[#This Row],[STOCK    FISICO ENERO 2021]]-Tabla1[[#This Row],[REQUISICIONES FEBRERO 2021]]</f>
        <v>6693</v>
      </c>
      <c r="P711" s="74">
        <f>+Tabla1[[#This Row],[STOCK  FEBRERO 2021]]-Tabla1[[#This Row],[REQUISICIONES MARZO 2021]]+Tabla1[[#This Row],[ENTRADAS MARZO 2021]]</f>
        <v>6613</v>
      </c>
      <c r="Q711" s="75" t="s">
        <v>12</v>
      </c>
      <c r="R711" s="78">
        <v>0.61</v>
      </c>
      <c r="S711" s="36">
        <f t="shared" ref="S711:S720" si="31">R711*0.18+R711</f>
        <v>0.7198</v>
      </c>
      <c r="T711" s="100">
        <f>Tabla1[[#This Row],[STOCK MARZO ]]*Tabla1[[#This Row],[COSTO UNITARIO SIN ITBIS]]</f>
        <v>4033.93</v>
      </c>
    </row>
    <row r="712" spans="1:20" s="9" customFormat="1" x14ac:dyDescent="0.25">
      <c r="A712" s="98">
        <v>103</v>
      </c>
      <c r="B712" s="76">
        <v>44026</v>
      </c>
      <c r="C712" s="29" t="s">
        <v>11</v>
      </c>
      <c r="D712" s="76">
        <v>44026</v>
      </c>
      <c r="E712" s="156"/>
      <c r="F712" s="29">
        <v>1235</v>
      </c>
      <c r="G712" s="33" t="s">
        <v>608</v>
      </c>
      <c r="H712" s="64">
        <v>4209</v>
      </c>
      <c r="I712" s="64">
        <f>10+20</f>
        <v>30</v>
      </c>
      <c r="J712" s="64">
        <f>+'INVENTARIO ENERO-MARZO 2021'!$H712-'INVENTARIO ENERO-MARZO 2021'!$I712</f>
        <v>4179</v>
      </c>
      <c r="K712" s="64"/>
      <c r="L712" s="64"/>
      <c r="M712" s="64">
        <v>6</v>
      </c>
      <c r="N712" s="64">
        <v>2</v>
      </c>
      <c r="O712" s="64">
        <f>+Tabla1[[#This Row],[STOCK    FISICO ENERO 2021]]-Tabla1[[#This Row],[REQUISICIONES FEBRERO 2021]]</f>
        <v>4173</v>
      </c>
      <c r="P712" s="64">
        <f>+Tabla1[[#This Row],[STOCK  FEBRERO 2021]]-Tabla1[[#This Row],[REQUISICIONES MARZO 2021]]+Tabla1[[#This Row],[ENTRADAS MARZO 2021]]</f>
        <v>4171</v>
      </c>
      <c r="Q712" s="75" t="s">
        <v>12</v>
      </c>
      <c r="R712" s="35">
        <v>0.45</v>
      </c>
      <c r="S712" s="36">
        <f t="shared" si="31"/>
        <v>0.53100000000000003</v>
      </c>
      <c r="T712" s="100">
        <f>Tabla1[[#This Row],[STOCK MARZO ]]*Tabla1[[#This Row],[COSTO UNITARIO SIN ITBIS]]</f>
        <v>1876.95</v>
      </c>
    </row>
    <row r="713" spans="1:20" s="9" customFormat="1" x14ac:dyDescent="0.25">
      <c r="A713" s="98">
        <v>104</v>
      </c>
      <c r="B713" s="32">
        <v>43453</v>
      </c>
      <c r="C713" s="29" t="s">
        <v>11</v>
      </c>
      <c r="D713" s="32">
        <v>43453</v>
      </c>
      <c r="E713" s="148"/>
      <c r="F713" s="14">
        <v>1530</v>
      </c>
      <c r="G713" s="77" t="s">
        <v>609</v>
      </c>
      <c r="H713" s="74">
        <v>1560</v>
      </c>
      <c r="I713" s="74"/>
      <c r="J713" s="74">
        <f>+'INVENTARIO ENERO-MARZO 2021'!$H713-'INVENTARIO ENERO-MARZO 2021'!$I713</f>
        <v>1560</v>
      </c>
      <c r="K713" s="74"/>
      <c r="L713" s="74"/>
      <c r="M713" s="74"/>
      <c r="N713" s="74">
        <v>10</v>
      </c>
      <c r="O713" s="74">
        <f>+Tabla1[[#This Row],[STOCK    FISICO ENERO 2021]]-Tabla1[[#This Row],[REQUISICIONES FEBRERO 2021]]</f>
        <v>1560</v>
      </c>
      <c r="P713" s="74">
        <f>+Tabla1[[#This Row],[STOCK  FEBRERO 2021]]-Tabla1[[#This Row],[REQUISICIONES MARZO 2021]]+Tabla1[[#This Row],[ENTRADAS MARZO 2021]]</f>
        <v>1550</v>
      </c>
      <c r="Q713" s="75" t="s">
        <v>12</v>
      </c>
      <c r="R713" s="78">
        <v>1.6</v>
      </c>
      <c r="S713" s="36">
        <f t="shared" si="31"/>
        <v>1.8880000000000001</v>
      </c>
      <c r="T713" s="100">
        <f>Tabla1[[#This Row],[STOCK MARZO ]]*Tabla1[[#This Row],[COSTO UNITARIO SIN ITBIS]]</f>
        <v>2480</v>
      </c>
    </row>
    <row r="714" spans="1:20" s="9" customFormat="1" x14ac:dyDescent="0.25">
      <c r="A714" s="98">
        <v>105</v>
      </c>
      <c r="B714" s="76">
        <v>43223</v>
      </c>
      <c r="C714" s="29" t="s">
        <v>11</v>
      </c>
      <c r="D714" s="76">
        <v>43223</v>
      </c>
      <c r="E714" s="156"/>
      <c r="F714" s="29">
        <v>1529</v>
      </c>
      <c r="G714" s="33" t="s">
        <v>610</v>
      </c>
      <c r="H714" s="64">
        <v>0</v>
      </c>
      <c r="I714" s="64"/>
      <c r="J714" s="64">
        <f>+'INVENTARIO ENERO-MARZO 2021'!$H714-'INVENTARIO ENERO-MARZO 2021'!$I714</f>
        <v>0</v>
      </c>
      <c r="K714" s="64"/>
      <c r="L714" s="64"/>
      <c r="M714" s="64"/>
      <c r="N714" s="64"/>
      <c r="O714" s="64">
        <f>+Tabla1[[#This Row],[STOCK    FISICO ENERO 2021]]-Tabla1[[#This Row],[REQUISICIONES FEBRERO 2021]]</f>
        <v>0</v>
      </c>
      <c r="P714" s="64">
        <f>+Tabla1[[#This Row],[STOCK  FEBRERO 2021]]-Tabla1[[#This Row],[REQUISICIONES MARZO 2021]]+Tabla1[[#This Row],[ENTRADAS MARZO 2021]]</f>
        <v>0</v>
      </c>
      <c r="Q714" s="75" t="s">
        <v>12</v>
      </c>
      <c r="R714" s="35">
        <v>1.2</v>
      </c>
      <c r="S714" s="36">
        <f t="shared" si="31"/>
        <v>1.4159999999999999</v>
      </c>
      <c r="T714" s="100">
        <f>Tabla1[[#This Row],[STOCK MARZO ]]*Tabla1[[#This Row],[COSTO UNITARIO SIN ITBIS]]</f>
        <v>0</v>
      </c>
    </row>
    <row r="715" spans="1:20" s="9" customFormat="1" x14ac:dyDescent="0.25">
      <c r="A715" s="98">
        <v>106</v>
      </c>
      <c r="B715" s="32">
        <v>44168</v>
      </c>
      <c r="C715" s="29" t="s">
        <v>11</v>
      </c>
      <c r="D715" s="32">
        <v>44154</v>
      </c>
      <c r="E715" s="148"/>
      <c r="F715" s="14">
        <v>1528</v>
      </c>
      <c r="G715" s="77" t="s">
        <v>611</v>
      </c>
      <c r="H715" s="74">
        <v>5918</v>
      </c>
      <c r="I715" s="74"/>
      <c r="J715" s="74">
        <f>+'INVENTARIO ENERO-MARZO 2021'!$H715-'INVENTARIO ENERO-MARZO 2021'!$I715</f>
        <v>5918</v>
      </c>
      <c r="K715" s="74"/>
      <c r="L715" s="74"/>
      <c r="M715" s="74">
        <v>24</v>
      </c>
      <c r="N715" s="74">
        <f>24+20+24+120</f>
        <v>188</v>
      </c>
      <c r="O715" s="74">
        <f>+Tabla1[[#This Row],[STOCK    FISICO ENERO 2021]]-Tabla1[[#This Row],[REQUISICIONES FEBRERO 2021]]</f>
        <v>5894</v>
      </c>
      <c r="P715" s="74">
        <f>+Tabla1[[#This Row],[STOCK  FEBRERO 2021]]-Tabla1[[#This Row],[REQUISICIONES MARZO 2021]]+Tabla1[[#This Row],[ENTRADAS MARZO 2021]]</f>
        <v>5706</v>
      </c>
      <c r="Q715" s="75" t="s">
        <v>12</v>
      </c>
      <c r="R715" s="78">
        <v>1.2</v>
      </c>
      <c r="S715" s="36">
        <f t="shared" si="31"/>
        <v>1.4159999999999999</v>
      </c>
      <c r="T715" s="100">
        <f>Tabla1[[#This Row],[STOCK MARZO ]]*Tabla1[[#This Row],[COSTO UNITARIO SIN ITBIS]]</f>
        <v>6847.2</v>
      </c>
    </row>
    <row r="716" spans="1:20" s="9" customFormat="1" x14ac:dyDescent="0.25">
      <c r="A716" s="98">
        <v>107</v>
      </c>
      <c r="B716" s="32">
        <v>44168</v>
      </c>
      <c r="C716" s="29" t="s">
        <v>11</v>
      </c>
      <c r="D716" s="32">
        <v>44154</v>
      </c>
      <c r="E716" s="148"/>
      <c r="F716" s="29">
        <v>1531</v>
      </c>
      <c r="G716" s="33" t="s">
        <v>612</v>
      </c>
      <c r="H716" s="64">
        <v>1877</v>
      </c>
      <c r="I716" s="64"/>
      <c r="J716" s="64">
        <f>+'INVENTARIO ENERO-MARZO 2021'!$H716-'INVENTARIO ENERO-MARZO 2021'!$I716</f>
        <v>1877</v>
      </c>
      <c r="K716" s="64"/>
      <c r="L716" s="64"/>
      <c r="M716" s="64"/>
      <c r="N716" s="64"/>
      <c r="O716" s="64">
        <f>+Tabla1[[#This Row],[STOCK    FISICO ENERO 2021]]-Tabla1[[#This Row],[REQUISICIONES FEBRERO 2021]]</f>
        <v>1877</v>
      </c>
      <c r="P716" s="64">
        <f>+Tabla1[[#This Row],[STOCK  FEBRERO 2021]]-Tabla1[[#This Row],[REQUISICIONES MARZO 2021]]+Tabla1[[#This Row],[ENTRADAS MARZO 2021]]</f>
        <v>1877</v>
      </c>
      <c r="Q716" s="75" t="s">
        <v>12</v>
      </c>
      <c r="R716" s="35">
        <v>1.55</v>
      </c>
      <c r="S716" s="36">
        <f t="shared" si="31"/>
        <v>1.829</v>
      </c>
      <c r="T716" s="100">
        <f>Tabla1[[#This Row],[STOCK MARZO ]]*Tabla1[[#This Row],[COSTO UNITARIO SIN ITBIS]]</f>
        <v>2909.35</v>
      </c>
    </row>
    <row r="717" spans="1:20" s="9" customFormat="1" x14ac:dyDescent="0.25">
      <c r="A717" s="98">
        <v>108</v>
      </c>
      <c r="B717" s="32">
        <v>44168</v>
      </c>
      <c r="C717" s="29" t="s">
        <v>11</v>
      </c>
      <c r="D717" s="32">
        <v>44154</v>
      </c>
      <c r="E717" s="148"/>
      <c r="F717" s="14">
        <v>1532</v>
      </c>
      <c r="G717" s="77" t="s">
        <v>613</v>
      </c>
      <c r="H717" s="74">
        <v>1886</v>
      </c>
      <c r="I717" s="74"/>
      <c r="J717" s="74">
        <f>+'INVENTARIO ENERO-MARZO 2021'!$H717-'INVENTARIO ENERO-MARZO 2021'!$I717</f>
        <v>1886</v>
      </c>
      <c r="K717" s="74"/>
      <c r="L717" s="74"/>
      <c r="M717" s="74"/>
      <c r="N717" s="74"/>
      <c r="O717" s="74">
        <f>+Tabla1[[#This Row],[STOCK    FISICO ENERO 2021]]-Tabla1[[#This Row],[REQUISICIONES FEBRERO 2021]]</f>
        <v>1886</v>
      </c>
      <c r="P717" s="74">
        <f>+Tabla1[[#This Row],[STOCK  FEBRERO 2021]]-Tabla1[[#This Row],[REQUISICIONES MARZO 2021]]+Tabla1[[#This Row],[ENTRADAS MARZO 2021]]</f>
        <v>1886</v>
      </c>
      <c r="Q717" s="75" t="s">
        <v>12</v>
      </c>
      <c r="R717" s="78">
        <v>2.2000000000000002</v>
      </c>
      <c r="S717" s="36">
        <f t="shared" si="31"/>
        <v>2.5960000000000001</v>
      </c>
      <c r="T717" s="100">
        <f>Tabla1[[#This Row],[STOCK MARZO ]]*Tabla1[[#This Row],[COSTO UNITARIO SIN ITBIS]]</f>
        <v>4149.2000000000007</v>
      </c>
    </row>
    <row r="718" spans="1:20" s="9" customFormat="1" x14ac:dyDescent="0.25">
      <c r="A718" s="98">
        <v>109</v>
      </c>
      <c r="B718" s="76">
        <v>44026</v>
      </c>
      <c r="C718" s="29" t="s">
        <v>11</v>
      </c>
      <c r="D718" s="76">
        <v>44026</v>
      </c>
      <c r="E718" s="156"/>
      <c r="F718" s="14">
        <v>1795</v>
      </c>
      <c r="G718" s="77" t="s">
        <v>733</v>
      </c>
      <c r="H718" s="74">
        <v>50</v>
      </c>
      <c r="I718" s="74"/>
      <c r="J718" s="74">
        <f>+'INVENTARIO ENERO-MARZO 2021'!$H718-'INVENTARIO ENERO-MARZO 2021'!$I718</f>
        <v>50</v>
      </c>
      <c r="K718" s="74"/>
      <c r="L718" s="74"/>
      <c r="M718" s="74"/>
      <c r="N718" s="74"/>
      <c r="O718" s="74">
        <f>+Tabla1[[#This Row],[STOCK    FISICO ENERO 2021]]-Tabla1[[#This Row],[REQUISICIONES FEBRERO 2021]]</f>
        <v>50</v>
      </c>
      <c r="P718" s="74">
        <f>+Tabla1[[#This Row],[STOCK  FEBRERO 2021]]-Tabla1[[#This Row],[REQUISICIONES MARZO 2021]]+Tabla1[[#This Row],[ENTRADAS MARZO 2021]]</f>
        <v>50</v>
      </c>
      <c r="Q718" s="75" t="s">
        <v>112</v>
      </c>
      <c r="R718" s="78">
        <v>590.4</v>
      </c>
      <c r="S718" s="36">
        <f t="shared" si="31"/>
        <v>696.67200000000003</v>
      </c>
      <c r="T718" s="100">
        <f>Tabla1[[#This Row],[STOCK MARZO ]]*Tabla1[[#This Row],[COSTO UNITARIO SIN ITBIS]]</f>
        <v>29520</v>
      </c>
    </row>
    <row r="719" spans="1:20" s="9" customFormat="1" x14ac:dyDescent="0.25">
      <c r="A719" s="98">
        <v>110</v>
      </c>
      <c r="B719" s="32">
        <v>44168</v>
      </c>
      <c r="C719" s="29" t="s">
        <v>11</v>
      </c>
      <c r="D719" s="32">
        <v>44154</v>
      </c>
      <c r="E719" s="148"/>
      <c r="F719" s="14"/>
      <c r="G719" s="33" t="s">
        <v>679</v>
      </c>
      <c r="H719" s="74">
        <v>33</v>
      </c>
      <c r="I719" s="74"/>
      <c r="J719" s="74">
        <f>+'INVENTARIO ENERO-MARZO 2021'!$H719-'INVENTARIO ENERO-MARZO 2021'!$I719</f>
        <v>33</v>
      </c>
      <c r="K719" s="74"/>
      <c r="L719" s="74"/>
      <c r="M719" s="74"/>
      <c r="N719" s="74"/>
      <c r="O719" s="74">
        <f>+Tabla1[[#This Row],[STOCK    FISICO ENERO 2021]]-Tabla1[[#This Row],[REQUISICIONES FEBRERO 2021]]</f>
        <v>33</v>
      </c>
      <c r="P719" s="74">
        <f>+Tabla1[[#This Row],[STOCK  FEBRERO 2021]]-Tabla1[[#This Row],[REQUISICIONES MARZO 2021]]+Tabla1[[#This Row],[ENTRADAS MARZO 2021]]</f>
        <v>33</v>
      </c>
      <c r="Q719" s="75" t="s">
        <v>112</v>
      </c>
      <c r="R719" s="78">
        <v>8</v>
      </c>
      <c r="S719" s="36">
        <f t="shared" si="31"/>
        <v>9.44</v>
      </c>
      <c r="T719" s="100">
        <f>Tabla1[[#This Row],[STOCK MARZO ]]*Tabla1[[#This Row],[COSTO UNITARIO SIN ITBIS]]</f>
        <v>264</v>
      </c>
    </row>
    <row r="720" spans="1:20" s="9" customFormat="1" x14ac:dyDescent="0.25">
      <c r="A720" s="98">
        <v>111</v>
      </c>
      <c r="B720" s="32">
        <v>44168</v>
      </c>
      <c r="C720" s="29" t="s">
        <v>11</v>
      </c>
      <c r="D720" s="32">
        <v>44154</v>
      </c>
      <c r="E720" s="148"/>
      <c r="F720" s="29" t="s">
        <v>23</v>
      </c>
      <c r="G720" s="33" t="s">
        <v>614</v>
      </c>
      <c r="H720" s="64">
        <v>3</v>
      </c>
      <c r="I720" s="64"/>
      <c r="J720" s="64">
        <f>+'INVENTARIO ENERO-MARZO 2021'!$H720-'INVENTARIO ENERO-MARZO 2021'!$I720</f>
        <v>3</v>
      </c>
      <c r="K720" s="64"/>
      <c r="L720" s="64"/>
      <c r="M720" s="64">
        <v>1</v>
      </c>
      <c r="N720" s="64"/>
      <c r="O720" s="64">
        <f>+Tabla1[[#This Row],[STOCK    FISICO ENERO 2021]]-Tabla1[[#This Row],[REQUISICIONES FEBRERO 2021]]</f>
        <v>2</v>
      </c>
      <c r="P720" s="64">
        <f>+Tabla1[[#This Row],[STOCK  FEBRERO 2021]]-Tabla1[[#This Row],[REQUISICIONES MARZO 2021]]+Tabla1[[#This Row],[ENTRADAS MARZO 2021]]</f>
        <v>2</v>
      </c>
      <c r="Q720" s="75" t="s">
        <v>12</v>
      </c>
      <c r="R720" s="35">
        <v>560</v>
      </c>
      <c r="S720" s="36">
        <f t="shared" si="31"/>
        <v>660.8</v>
      </c>
      <c r="T720" s="100">
        <f>Tabla1[[#This Row],[STOCK MARZO ]]*Tabla1[[#This Row],[COSTO UNITARIO SIN ITBIS]]</f>
        <v>1120</v>
      </c>
    </row>
    <row r="721" spans="1:20" s="9" customFormat="1" ht="24.75" thickBot="1" x14ac:dyDescent="0.3">
      <c r="A721" s="57"/>
      <c r="B721" s="57"/>
      <c r="C721" s="29"/>
      <c r="D721" s="56"/>
      <c r="E721" s="152"/>
      <c r="F721" s="57"/>
      <c r="G721" s="57"/>
      <c r="H721" s="58"/>
      <c r="I721" s="58"/>
      <c r="J721" s="58">
        <f>+'INVENTARIO ENERO-MARZO 2021'!$H721-'INVENTARIO ENERO-MARZO 2021'!$I721</f>
        <v>0</v>
      </c>
      <c r="K721" s="58"/>
      <c r="L721" s="58"/>
      <c r="M721" s="58"/>
      <c r="N721" s="58"/>
      <c r="O721" s="58"/>
      <c r="P721" s="58">
        <f>+Tabla1[[#This Row],[STOCK  FEBRERO 2021]]-Tabla1[[#This Row],[REQUISICIONES MARZO 2021]]+Tabla1[[#This Row],[ENTRADAS MARZO 2021]]</f>
        <v>0</v>
      </c>
      <c r="Q721" s="57"/>
      <c r="R721" s="59"/>
      <c r="S721" s="59" t="s">
        <v>771</v>
      </c>
      <c r="T721" s="102">
        <f>SUM(T610:T720)</f>
        <v>204804.73</v>
      </c>
    </row>
    <row r="722" spans="1:20" s="9" customFormat="1" ht="15.75" thickTop="1" x14ac:dyDescent="0.25">
      <c r="A722" s="62" t="s">
        <v>615</v>
      </c>
      <c r="B722" s="62"/>
      <c r="C722" s="61"/>
      <c r="D722" s="61"/>
      <c r="E722" s="103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103"/>
    </row>
    <row r="723" spans="1:20" s="9" customFormat="1" x14ac:dyDescent="0.25">
      <c r="A723" s="97">
        <v>1</v>
      </c>
      <c r="B723" s="76"/>
      <c r="C723" s="29" t="s">
        <v>11</v>
      </c>
      <c r="D723" s="76"/>
      <c r="E723" s="156"/>
      <c r="F723" s="29"/>
      <c r="G723" s="33" t="s">
        <v>739</v>
      </c>
      <c r="H723" s="64">
        <v>13</v>
      </c>
      <c r="I723" s="64"/>
      <c r="J723" s="64">
        <f>+'INVENTARIO ENERO-MARZO 2021'!$H723-'INVENTARIO ENERO-MARZO 2021'!$I723</f>
        <v>13</v>
      </c>
      <c r="K723" s="64"/>
      <c r="L723" s="64"/>
      <c r="M723" s="64">
        <v>1</v>
      </c>
      <c r="N723" s="64">
        <f>10+1</f>
        <v>11</v>
      </c>
      <c r="O723" s="64">
        <f>+Tabla1[[#This Row],[STOCK    FISICO ENERO 2021]]-Tabla1[[#This Row],[REQUISICIONES FEBRERO 2021]]</f>
        <v>12</v>
      </c>
      <c r="P723" s="64">
        <f>+Tabla1[[#This Row],[STOCK  FEBRERO 2021]]-Tabla1[[#This Row],[REQUISICIONES MARZO 2021]]+Tabla1[[#This Row],[ENTRADAS MARZO 2021]]</f>
        <v>1</v>
      </c>
      <c r="Q723" s="31" t="s">
        <v>377</v>
      </c>
      <c r="R723" s="35">
        <v>0</v>
      </c>
      <c r="S723" s="36">
        <f t="shared" ref="S723:S736" si="32">R723*0.18+R723</f>
        <v>0</v>
      </c>
      <c r="T723" s="100">
        <f>Tabla1[[#This Row],[STOCK MARZO ]]*Tabla1[[#This Row],[COSTO UNITARIO SIN ITBIS]]</f>
        <v>0</v>
      </c>
    </row>
    <row r="724" spans="1:20" s="11" customFormat="1" x14ac:dyDescent="0.25">
      <c r="A724" s="97">
        <v>2</v>
      </c>
      <c r="B724" s="32">
        <v>44169</v>
      </c>
      <c r="C724" s="29" t="s">
        <v>11</v>
      </c>
      <c r="D724" s="32">
        <v>44147</v>
      </c>
      <c r="E724" s="148"/>
      <c r="F724" s="29">
        <v>1299</v>
      </c>
      <c r="G724" s="33" t="s">
        <v>740</v>
      </c>
      <c r="H724" s="64">
        <v>2</v>
      </c>
      <c r="I724" s="64"/>
      <c r="J724" s="64">
        <f>+'INVENTARIO ENERO-MARZO 2021'!$H724-'INVENTARIO ENERO-MARZO 2021'!$I724</f>
        <v>2</v>
      </c>
      <c r="K724" s="64"/>
      <c r="L724" s="64"/>
      <c r="M724" s="64"/>
      <c r="N724" s="64"/>
      <c r="O724" s="64">
        <f>+Tabla1[[#This Row],[STOCK    FISICO ENERO 2021]]-Tabla1[[#This Row],[REQUISICIONES FEBRERO 2021]]</f>
        <v>2</v>
      </c>
      <c r="P724" s="64">
        <f>+Tabla1[[#This Row],[STOCK  FEBRERO 2021]]-Tabla1[[#This Row],[REQUISICIONES MARZO 2021]]+Tabla1[[#This Row],[ENTRADAS MARZO 2021]]</f>
        <v>2</v>
      </c>
      <c r="Q724" s="31" t="s">
        <v>377</v>
      </c>
      <c r="R724" s="35">
        <v>750</v>
      </c>
      <c r="S724" s="36">
        <f t="shared" si="32"/>
        <v>885</v>
      </c>
      <c r="T724" s="100">
        <f>Tabla1[[#This Row],[STOCK MARZO ]]*Tabla1[[#This Row],[COSTO UNITARIO SIN ITBIS]]</f>
        <v>1500</v>
      </c>
    </row>
    <row r="725" spans="1:20" s="9" customFormat="1" x14ac:dyDescent="0.25">
      <c r="A725" s="97">
        <v>3</v>
      </c>
      <c r="B725" s="32"/>
      <c r="C725" s="29" t="s">
        <v>11</v>
      </c>
      <c r="D725" s="32"/>
      <c r="E725" s="148"/>
      <c r="F725" s="14" t="s">
        <v>23</v>
      </c>
      <c r="G725" s="77" t="s">
        <v>616</v>
      </c>
      <c r="H725" s="74">
        <v>15</v>
      </c>
      <c r="I725" s="74"/>
      <c r="J725" s="74">
        <f>+'INVENTARIO ENERO-MARZO 2021'!$H725-'INVENTARIO ENERO-MARZO 2021'!$I725</f>
        <v>15</v>
      </c>
      <c r="K725" s="74"/>
      <c r="L725" s="74"/>
      <c r="M725" s="74"/>
      <c r="N725" s="74"/>
      <c r="O725" s="74">
        <f>+Tabla1[[#This Row],[STOCK    FISICO ENERO 2021]]-Tabla1[[#This Row],[REQUISICIONES FEBRERO 2021]]</f>
        <v>15</v>
      </c>
      <c r="P725" s="74">
        <f>+Tabla1[[#This Row],[STOCK  FEBRERO 2021]]-Tabla1[[#This Row],[REQUISICIONES MARZO 2021]]+Tabla1[[#This Row],[ENTRADAS MARZO 2021]]</f>
        <v>15</v>
      </c>
      <c r="Q725" s="75" t="s">
        <v>112</v>
      </c>
      <c r="R725" s="78">
        <v>142.5</v>
      </c>
      <c r="S725" s="36">
        <f t="shared" si="32"/>
        <v>168.15</v>
      </c>
      <c r="T725" s="100">
        <f>Tabla1[[#This Row],[STOCK MARZO ]]*Tabla1[[#This Row],[COSTO UNITARIO SIN ITBIS]]</f>
        <v>2137.5</v>
      </c>
    </row>
    <row r="726" spans="1:20" s="9" customFormat="1" x14ac:dyDescent="0.25">
      <c r="A726" s="97">
        <v>4</v>
      </c>
      <c r="B726" s="32">
        <v>44169</v>
      </c>
      <c r="C726" s="29" t="s">
        <v>11</v>
      </c>
      <c r="D726" s="32">
        <v>44147</v>
      </c>
      <c r="E726" s="148"/>
      <c r="F726" s="14">
        <v>1742</v>
      </c>
      <c r="G726" s="77" t="s">
        <v>617</v>
      </c>
      <c r="H726" s="74">
        <v>1376</v>
      </c>
      <c r="I726" s="74"/>
      <c r="J726" s="74">
        <f>+'INVENTARIO ENERO-MARZO 2021'!$H726-'INVENTARIO ENERO-MARZO 2021'!$I726</f>
        <v>1376</v>
      </c>
      <c r="K726" s="74"/>
      <c r="L726" s="74"/>
      <c r="M726" s="74">
        <f>40+70+2</f>
        <v>112</v>
      </c>
      <c r="N726" s="74">
        <v>4</v>
      </c>
      <c r="O726" s="74">
        <f>+Tabla1[[#This Row],[STOCK    FISICO ENERO 2021]]-Tabla1[[#This Row],[REQUISICIONES FEBRERO 2021]]</f>
        <v>1264</v>
      </c>
      <c r="P726" s="74">
        <f>+Tabla1[[#This Row],[STOCK  FEBRERO 2021]]-Tabla1[[#This Row],[REQUISICIONES MARZO 2021]]+Tabla1[[#This Row],[ENTRADAS MARZO 2021]]</f>
        <v>1260</v>
      </c>
      <c r="Q726" s="75" t="s">
        <v>12</v>
      </c>
      <c r="R726" s="78">
        <v>206.34</v>
      </c>
      <c r="S726" s="36">
        <f t="shared" si="32"/>
        <v>243.4812</v>
      </c>
      <c r="T726" s="100">
        <f>Tabla1[[#This Row],[STOCK MARZO ]]*Tabla1[[#This Row],[COSTO UNITARIO SIN ITBIS]]</f>
        <v>259988.4</v>
      </c>
    </row>
    <row r="727" spans="1:20" s="9" customFormat="1" x14ac:dyDescent="0.25">
      <c r="A727" s="97">
        <v>5</v>
      </c>
      <c r="B727" s="32">
        <v>44169</v>
      </c>
      <c r="C727" s="29" t="s">
        <v>11</v>
      </c>
      <c r="D727" s="32">
        <v>44147</v>
      </c>
      <c r="E727" s="148"/>
      <c r="F727" s="29">
        <v>1330</v>
      </c>
      <c r="G727" s="77" t="s">
        <v>618</v>
      </c>
      <c r="H727" s="64">
        <v>14</v>
      </c>
      <c r="I727" s="64"/>
      <c r="J727" s="64">
        <f>+'INVENTARIO ENERO-MARZO 2021'!$H727-'INVENTARIO ENERO-MARZO 2021'!$I727</f>
        <v>14</v>
      </c>
      <c r="K727" s="64"/>
      <c r="L727" s="64"/>
      <c r="M727" s="64"/>
      <c r="N727" s="64"/>
      <c r="O727" s="64">
        <f>+Tabla1[[#This Row],[STOCK    FISICO ENERO 2021]]-Tabla1[[#This Row],[REQUISICIONES FEBRERO 2021]]</f>
        <v>14</v>
      </c>
      <c r="P727" s="64">
        <f>+Tabla1[[#This Row],[STOCK  FEBRERO 2021]]-Tabla1[[#This Row],[REQUISICIONES MARZO 2021]]+Tabla1[[#This Row],[ENTRADAS MARZO 2021]]</f>
        <v>14</v>
      </c>
      <c r="Q727" s="31" t="s">
        <v>12</v>
      </c>
      <c r="R727" s="35">
        <v>1455</v>
      </c>
      <c r="S727" s="36">
        <f t="shared" si="32"/>
        <v>1716.9</v>
      </c>
      <c r="T727" s="100">
        <f>Tabla1[[#This Row],[STOCK MARZO ]]*Tabla1[[#This Row],[COSTO UNITARIO SIN ITBIS]]</f>
        <v>20370</v>
      </c>
    </row>
    <row r="728" spans="1:20" s="9" customFormat="1" x14ac:dyDescent="0.25">
      <c r="A728" s="97">
        <v>6</v>
      </c>
      <c r="B728" s="32">
        <v>44169</v>
      </c>
      <c r="C728" s="29" t="s">
        <v>11</v>
      </c>
      <c r="D728" s="32">
        <v>44147</v>
      </c>
      <c r="E728" s="148"/>
      <c r="F728" s="14">
        <v>1550</v>
      </c>
      <c r="G728" s="77" t="s">
        <v>677</v>
      </c>
      <c r="H728" s="74">
        <v>16</v>
      </c>
      <c r="I728" s="74"/>
      <c r="J728" s="74">
        <f>+'INVENTARIO ENERO-MARZO 2021'!$H728-'INVENTARIO ENERO-MARZO 2021'!$I728</f>
        <v>16</v>
      </c>
      <c r="K728" s="74"/>
      <c r="L728" s="74"/>
      <c r="M728" s="74"/>
      <c r="N728" s="74"/>
      <c r="O728" s="74">
        <f>+Tabla1[[#This Row],[STOCK    FISICO ENERO 2021]]-Tabla1[[#This Row],[REQUISICIONES FEBRERO 2021]]</f>
        <v>16</v>
      </c>
      <c r="P728" s="74">
        <f>+Tabla1[[#This Row],[STOCK  FEBRERO 2021]]-Tabla1[[#This Row],[REQUISICIONES MARZO 2021]]+Tabla1[[#This Row],[ENTRADAS MARZO 2021]]</f>
        <v>16</v>
      </c>
      <c r="Q728" s="75" t="s">
        <v>12</v>
      </c>
      <c r="R728" s="78">
        <v>391.53</v>
      </c>
      <c r="S728" s="36">
        <f t="shared" si="32"/>
        <v>462.00539999999995</v>
      </c>
      <c r="T728" s="100">
        <f>Tabla1[[#This Row],[STOCK MARZO ]]*Tabla1[[#This Row],[COSTO UNITARIO SIN ITBIS]]</f>
        <v>6264.48</v>
      </c>
    </row>
    <row r="729" spans="1:20" s="9" customFormat="1" x14ac:dyDescent="0.25">
      <c r="A729" s="97">
        <v>7</v>
      </c>
      <c r="B729" s="32"/>
      <c r="C729" s="29" t="s">
        <v>11</v>
      </c>
      <c r="D729" s="32"/>
      <c r="E729" s="148"/>
      <c r="F729" s="29">
        <v>1548</v>
      </c>
      <c r="G729" s="33" t="s">
        <v>619</v>
      </c>
      <c r="H729" s="64">
        <v>5</v>
      </c>
      <c r="I729" s="64"/>
      <c r="J729" s="64">
        <f>+'INVENTARIO ENERO-MARZO 2021'!$H729-'INVENTARIO ENERO-MARZO 2021'!$I729</f>
        <v>5</v>
      </c>
      <c r="K729" s="64"/>
      <c r="L729" s="64"/>
      <c r="M729" s="64"/>
      <c r="N729" s="64"/>
      <c r="O729" s="64">
        <f>+Tabla1[[#This Row],[STOCK    FISICO ENERO 2021]]-Tabla1[[#This Row],[REQUISICIONES FEBRERO 2021]]</f>
        <v>5</v>
      </c>
      <c r="P729" s="64">
        <f>+Tabla1[[#This Row],[STOCK  FEBRERO 2021]]-Tabla1[[#This Row],[REQUISICIONES MARZO 2021]]+Tabla1[[#This Row],[ENTRADAS MARZO 2021]]</f>
        <v>5</v>
      </c>
      <c r="Q729" s="31" t="s">
        <v>12</v>
      </c>
      <c r="R729" s="35">
        <v>1067.8</v>
      </c>
      <c r="S729" s="36">
        <f t="shared" si="32"/>
        <v>1260.0039999999999</v>
      </c>
      <c r="T729" s="100">
        <f>Tabla1[[#This Row],[STOCK MARZO ]]*Tabla1[[#This Row],[COSTO UNITARIO SIN ITBIS]]</f>
        <v>5339</v>
      </c>
    </row>
    <row r="730" spans="1:20" s="9" customFormat="1" x14ac:dyDescent="0.25">
      <c r="A730" s="97">
        <v>8</v>
      </c>
      <c r="B730" s="76">
        <v>44027</v>
      </c>
      <c r="C730" s="29" t="s">
        <v>11</v>
      </c>
      <c r="D730" s="76">
        <v>44027</v>
      </c>
      <c r="E730" s="156"/>
      <c r="F730" s="14">
        <v>1551</v>
      </c>
      <c r="G730" s="77" t="s">
        <v>620</v>
      </c>
      <c r="H730" s="74">
        <v>15</v>
      </c>
      <c r="I730" s="74"/>
      <c r="J730" s="74">
        <f>+'INVENTARIO ENERO-MARZO 2021'!$H730-'INVENTARIO ENERO-MARZO 2021'!$I730</f>
        <v>15</v>
      </c>
      <c r="K730" s="74"/>
      <c r="L730" s="74"/>
      <c r="M730" s="74"/>
      <c r="N730" s="74"/>
      <c r="O730" s="74">
        <f>+Tabla1[[#This Row],[STOCK    FISICO ENERO 2021]]-Tabla1[[#This Row],[REQUISICIONES FEBRERO 2021]]</f>
        <v>15</v>
      </c>
      <c r="P730" s="74">
        <f>+Tabla1[[#This Row],[STOCK  FEBRERO 2021]]-Tabla1[[#This Row],[REQUISICIONES MARZO 2021]]+Tabla1[[#This Row],[ENTRADAS MARZO 2021]]</f>
        <v>15</v>
      </c>
      <c r="Q730" s="75" t="s">
        <v>12</v>
      </c>
      <c r="R730" s="78">
        <v>417.24</v>
      </c>
      <c r="S730" s="36">
        <f t="shared" si="32"/>
        <v>492.34320000000002</v>
      </c>
      <c r="T730" s="100">
        <f>Tabla1[[#This Row],[STOCK MARZO ]]*Tabla1[[#This Row],[COSTO UNITARIO SIN ITBIS]]</f>
        <v>6258.6</v>
      </c>
    </row>
    <row r="731" spans="1:20" s="9" customFormat="1" x14ac:dyDescent="0.25">
      <c r="A731" s="97">
        <v>9</v>
      </c>
      <c r="B731" s="32">
        <v>44026</v>
      </c>
      <c r="C731" s="29" t="s">
        <v>11</v>
      </c>
      <c r="D731" s="32">
        <v>44026</v>
      </c>
      <c r="E731" s="148"/>
      <c r="F731" s="29"/>
      <c r="G731" s="33" t="s">
        <v>621</v>
      </c>
      <c r="H731" s="64">
        <v>0</v>
      </c>
      <c r="I731" s="64"/>
      <c r="J731" s="64">
        <f>+'INVENTARIO ENERO-MARZO 2021'!$H731-'INVENTARIO ENERO-MARZO 2021'!$I731</f>
        <v>0</v>
      </c>
      <c r="K731" s="64"/>
      <c r="L731" s="64"/>
      <c r="M731" s="64"/>
      <c r="N731" s="64"/>
      <c r="O731" s="64">
        <f>+Tabla1[[#This Row],[STOCK    FISICO ENERO 2021]]-Tabla1[[#This Row],[REQUISICIONES FEBRERO 2021]]</f>
        <v>0</v>
      </c>
      <c r="P731" s="64">
        <f>+Tabla1[[#This Row],[STOCK  FEBRERO 2021]]-Tabla1[[#This Row],[REQUISICIONES MARZO 2021]]+Tabla1[[#This Row],[ENTRADAS MARZO 2021]]</f>
        <v>0</v>
      </c>
      <c r="Q731" s="75" t="s">
        <v>12</v>
      </c>
      <c r="R731" s="35">
        <v>1525</v>
      </c>
      <c r="S731" s="36">
        <f t="shared" si="32"/>
        <v>1799.5</v>
      </c>
      <c r="T731" s="100">
        <f>Tabla1[[#This Row],[STOCK MARZO ]]*Tabla1[[#This Row],[COSTO UNITARIO SIN ITBIS]]</f>
        <v>0</v>
      </c>
    </row>
    <row r="732" spans="1:20" s="9" customFormat="1" x14ac:dyDescent="0.25">
      <c r="A732" s="97">
        <v>10</v>
      </c>
      <c r="B732" s="76">
        <v>44169</v>
      </c>
      <c r="C732" s="29" t="s">
        <v>11</v>
      </c>
      <c r="D732" s="76">
        <v>44147</v>
      </c>
      <c r="E732" s="156"/>
      <c r="F732" s="29"/>
      <c r="G732" s="33" t="s">
        <v>622</v>
      </c>
      <c r="H732" s="64">
        <v>0</v>
      </c>
      <c r="I732" s="64"/>
      <c r="J732" s="64">
        <f>+'INVENTARIO ENERO-MARZO 2021'!$H732-'INVENTARIO ENERO-MARZO 2021'!$I732</f>
        <v>0</v>
      </c>
      <c r="K732" s="64"/>
      <c r="L732" s="64"/>
      <c r="M732" s="64"/>
      <c r="N732" s="64"/>
      <c r="O732" s="64">
        <f>+Tabla1[[#This Row],[STOCK    FISICO ENERO 2021]]-Tabla1[[#This Row],[REQUISICIONES FEBRERO 2021]]</f>
        <v>0</v>
      </c>
      <c r="P732" s="64">
        <f>+Tabla1[[#This Row],[STOCK  FEBRERO 2021]]-Tabla1[[#This Row],[REQUISICIONES MARZO 2021]]+Tabla1[[#This Row],[ENTRADAS MARZO 2021]]</f>
        <v>0</v>
      </c>
      <c r="Q732" s="75" t="s">
        <v>12</v>
      </c>
      <c r="R732" s="35">
        <v>1115</v>
      </c>
      <c r="S732" s="36">
        <f t="shared" si="32"/>
        <v>1315.7</v>
      </c>
      <c r="T732" s="100">
        <f>Tabla1[[#This Row],[STOCK MARZO ]]*Tabla1[[#This Row],[COSTO UNITARIO SIN ITBIS]]</f>
        <v>0</v>
      </c>
    </row>
    <row r="733" spans="1:20" s="9" customFormat="1" x14ac:dyDescent="0.25">
      <c r="A733" s="97">
        <v>11</v>
      </c>
      <c r="B733" s="32">
        <v>44169</v>
      </c>
      <c r="C733" s="29" t="s">
        <v>11</v>
      </c>
      <c r="D733" s="32">
        <v>44176</v>
      </c>
      <c r="E733" s="148"/>
      <c r="F733" s="29"/>
      <c r="G733" s="33" t="s">
        <v>623</v>
      </c>
      <c r="H733" s="64">
        <v>0</v>
      </c>
      <c r="I733" s="64"/>
      <c r="J733" s="64">
        <f>+'INVENTARIO ENERO-MARZO 2021'!$H733-'INVENTARIO ENERO-MARZO 2021'!$I733</f>
        <v>0</v>
      </c>
      <c r="K733" s="64"/>
      <c r="L733" s="64"/>
      <c r="M733" s="64"/>
      <c r="N733" s="64"/>
      <c r="O733" s="64">
        <f>+Tabla1[[#This Row],[STOCK    FISICO ENERO 2021]]-Tabla1[[#This Row],[REQUISICIONES FEBRERO 2021]]</f>
        <v>0</v>
      </c>
      <c r="P733" s="64">
        <f>+Tabla1[[#This Row],[STOCK  FEBRERO 2021]]-Tabla1[[#This Row],[REQUISICIONES MARZO 2021]]+Tabla1[[#This Row],[ENTRADAS MARZO 2021]]</f>
        <v>0</v>
      </c>
      <c r="Q733" s="75" t="s">
        <v>12</v>
      </c>
      <c r="R733" s="35">
        <v>1040</v>
      </c>
      <c r="S733" s="36">
        <f t="shared" si="32"/>
        <v>1227.2</v>
      </c>
      <c r="T733" s="100">
        <f>Tabla1[[#This Row],[STOCK MARZO ]]*Tabla1[[#This Row],[COSTO UNITARIO SIN ITBIS]]</f>
        <v>0</v>
      </c>
    </row>
    <row r="734" spans="1:20" s="9" customFormat="1" x14ac:dyDescent="0.25">
      <c r="A734" s="97">
        <v>12</v>
      </c>
      <c r="B734" s="32"/>
      <c r="C734" s="29" t="s">
        <v>11</v>
      </c>
      <c r="D734" s="32"/>
      <c r="E734" s="148"/>
      <c r="F734" s="29"/>
      <c r="G734" s="33" t="s">
        <v>624</v>
      </c>
      <c r="H734" s="64">
        <v>6</v>
      </c>
      <c r="I734" s="64"/>
      <c r="J734" s="64">
        <f>+'INVENTARIO ENERO-MARZO 2021'!$H734-'INVENTARIO ENERO-MARZO 2021'!$I734</f>
        <v>6</v>
      </c>
      <c r="K734" s="64"/>
      <c r="L734" s="64"/>
      <c r="M734" s="64"/>
      <c r="N734" s="64">
        <v>1</v>
      </c>
      <c r="O734" s="64">
        <f>+Tabla1[[#This Row],[STOCK    FISICO ENERO 2021]]-Tabla1[[#This Row],[REQUISICIONES FEBRERO 2021]]</f>
        <v>6</v>
      </c>
      <c r="P734" s="64">
        <f>+Tabla1[[#This Row],[STOCK  FEBRERO 2021]]-Tabla1[[#This Row],[REQUISICIONES MARZO 2021]]+Tabla1[[#This Row],[ENTRADAS MARZO 2021]]</f>
        <v>5</v>
      </c>
      <c r="Q734" s="75" t="s">
        <v>12</v>
      </c>
      <c r="R734" s="35">
        <v>625</v>
      </c>
      <c r="S734" s="36">
        <f t="shared" si="32"/>
        <v>737.5</v>
      </c>
      <c r="T734" s="100">
        <f>Tabla1[[#This Row],[STOCK MARZO ]]*Tabla1[[#This Row],[COSTO UNITARIO SIN ITBIS]]</f>
        <v>3125</v>
      </c>
    </row>
    <row r="735" spans="1:20" s="9" customFormat="1" x14ac:dyDescent="0.25">
      <c r="A735" s="97">
        <v>13</v>
      </c>
      <c r="B735" s="76">
        <v>44110</v>
      </c>
      <c r="C735" s="29" t="s">
        <v>11</v>
      </c>
      <c r="D735" s="76">
        <v>44110</v>
      </c>
      <c r="E735" s="156"/>
      <c r="F735" s="29"/>
      <c r="G735" s="33" t="s">
        <v>625</v>
      </c>
      <c r="H735" s="64">
        <v>8</v>
      </c>
      <c r="I735" s="64"/>
      <c r="J735" s="64">
        <f>+'INVENTARIO ENERO-MARZO 2021'!$H735-'INVENTARIO ENERO-MARZO 2021'!$I735</f>
        <v>8</v>
      </c>
      <c r="K735" s="64"/>
      <c r="L735" s="64"/>
      <c r="M735" s="64"/>
      <c r="N735" s="64">
        <v>2</v>
      </c>
      <c r="O735" s="64">
        <f>+Tabla1[[#This Row],[STOCK    FISICO ENERO 2021]]-Tabla1[[#This Row],[REQUISICIONES FEBRERO 2021]]</f>
        <v>8</v>
      </c>
      <c r="P735" s="64">
        <f>+Tabla1[[#This Row],[STOCK  FEBRERO 2021]]-Tabla1[[#This Row],[REQUISICIONES MARZO 2021]]+Tabla1[[#This Row],[ENTRADAS MARZO 2021]]</f>
        <v>6</v>
      </c>
      <c r="Q735" s="75" t="s">
        <v>12</v>
      </c>
      <c r="R735" s="35">
        <v>950</v>
      </c>
      <c r="S735" s="36">
        <f t="shared" si="32"/>
        <v>1121</v>
      </c>
      <c r="T735" s="100">
        <f>Tabla1[[#This Row],[STOCK MARZO ]]*Tabla1[[#This Row],[COSTO UNITARIO SIN ITBIS]]</f>
        <v>5700</v>
      </c>
    </row>
    <row r="736" spans="1:20" s="9" customFormat="1" x14ac:dyDescent="0.25">
      <c r="A736" s="97">
        <v>14</v>
      </c>
      <c r="B736" s="76">
        <v>44168</v>
      </c>
      <c r="C736" s="29" t="s">
        <v>11</v>
      </c>
      <c r="D736" s="76">
        <v>44154</v>
      </c>
      <c r="E736" s="156"/>
      <c r="F736" s="29"/>
      <c r="G736" s="33" t="s">
        <v>626</v>
      </c>
      <c r="H736" s="64">
        <v>2</v>
      </c>
      <c r="I736" s="64"/>
      <c r="J736" s="64">
        <f>+'INVENTARIO ENERO-MARZO 2021'!$H736-'INVENTARIO ENERO-MARZO 2021'!$I736</f>
        <v>2</v>
      </c>
      <c r="K736" s="64"/>
      <c r="L736" s="64"/>
      <c r="M736" s="64"/>
      <c r="N736" s="64"/>
      <c r="O736" s="64">
        <f>+Tabla1[[#This Row],[STOCK    FISICO ENERO 2021]]-Tabla1[[#This Row],[REQUISICIONES FEBRERO 2021]]</f>
        <v>2</v>
      </c>
      <c r="P736" s="64">
        <f>+Tabla1[[#This Row],[STOCK  FEBRERO 2021]]-Tabla1[[#This Row],[REQUISICIONES MARZO 2021]]+Tabla1[[#This Row],[ENTRADAS MARZO 2021]]</f>
        <v>2</v>
      </c>
      <c r="Q736" s="75" t="s">
        <v>12</v>
      </c>
      <c r="R736" s="35">
        <v>928.37</v>
      </c>
      <c r="S736" s="36">
        <f t="shared" si="32"/>
        <v>1095.4766</v>
      </c>
      <c r="T736" s="100">
        <f>Tabla1[[#This Row],[STOCK MARZO ]]*Tabla1[[#This Row],[COSTO UNITARIO SIN ITBIS]]</f>
        <v>1856.74</v>
      </c>
    </row>
    <row r="737" spans="1:20" s="9" customFormat="1" ht="24.75" thickBot="1" x14ac:dyDescent="0.3">
      <c r="A737" s="57"/>
      <c r="B737" s="57"/>
      <c r="C737" s="57"/>
      <c r="D737" s="57"/>
      <c r="E737" s="152"/>
      <c r="F737" s="57"/>
      <c r="G737" s="57"/>
      <c r="H737" s="58"/>
      <c r="I737" s="58"/>
      <c r="J737" s="58">
        <f>+'INVENTARIO ENERO-MARZO 2021'!$H737-'INVENTARIO ENERO-MARZO 2021'!$I737</f>
        <v>0</v>
      </c>
      <c r="K737" s="58"/>
      <c r="L737" s="58"/>
      <c r="M737" s="58"/>
      <c r="N737" s="58"/>
      <c r="O737" s="58"/>
      <c r="P737" s="58">
        <f>+Tabla1[[#This Row],[STOCK  FEBRERO 2021]]-Tabla1[[#This Row],[REQUISICIONES MARZO 2021]]+Tabla1[[#This Row],[ENTRADAS MARZO 2021]]</f>
        <v>0</v>
      </c>
      <c r="Q737" s="83"/>
      <c r="R737" s="59"/>
      <c r="S737" s="59" t="s">
        <v>772</v>
      </c>
      <c r="T737" s="102">
        <f>SUM(T723:T736)</f>
        <v>312539.71999999997</v>
      </c>
    </row>
    <row r="738" spans="1:20" s="9" customFormat="1" ht="15.75" thickTop="1" x14ac:dyDescent="0.25">
      <c r="A738" s="62" t="s">
        <v>627</v>
      </c>
      <c r="B738" s="62"/>
      <c r="C738" s="62"/>
      <c r="D738" s="62"/>
      <c r="E738" s="103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103"/>
    </row>
    <row r="739" spans="1:20" s="9" customFormat="1" x14ac:dyDescent="0.25">
      <c r="A739" s="97">
        <v>1</v>
      </c>
      <c r="B739" s="76">
        <v>44028</v>
      </c>
      <c r="C739" s="14" t="s">
        <v>11</v>
      </c>
      <c r="D739" s="76">
        <v>44028</v>
      </c>
      <c r="E739" s="156"/>
      <c r="F739" s="14">
        <v>1780</v>
      </c>
      <c r="G739" s="77" t="s">
        <v>628</v>
      </c>
      <c r="H739" s="74">
        <v>1</v>
      </c>
      <c r="I739" s="74"/>
      <c r="J739" s="74">
        <f>+'INVENTARIO ENERO-MARZO 2021'!$H739-'INVENTARIO ENERO-MARZO 2021'!$I739</f>
        <v>1</v>
      </c>
      <c r="K739" s="74"/>
      <c r="L739" s="74"/>
      <c r="M739" s="74"/>
      <c r="N739" s="74"/>
      <c r="O739" s="74">
        <f>+Tabla1[[#This Row],[STOCK    FISICO ENERO 2021]]-Tabla1[[#This Row],[REQUISICIONES FEBRERO 2021]]</f>
        <v>1</v>
      </c>
      <c r="P739" s="74">
        <f>+Tabla1[[#This Row],[STOCK  FEBRERO 2021]]-Tabla1[[#This Row],[REQUISICIONES MARZO 2021]]+Tabla1[[#This Row],[ENTRADAS MARZO 2021]]</f>
        <v>1</v>
      </c>
      <c r="Q739" s="75" t="s">
        <v>112</v>
      </c>
      <c r="R739" s="78">
        <v>546</v>
      </c>
      <c r="S739" s="36">
        <f>R739*0.18+R739</f>
        <v>644.28</v>
      </c>
      <c r="T739" s="100">
        <f>Tabla1[[#This Row],[STOCK MARZO ]]*Tabla1[[#This Row],[COSTO UNITARIO SIN ITBIS]]</f>
        <v>546</v>
      </c>
    </row>
    <row r="740" spans="1:20" s="11" customFormat="1" x14ac:dyDescent="0.25">
      <c r="A740" s="97">
        <v>2</v>
      </c>
      <c r="B740" s="32"/>
      <c r="C740" s="14" t="s">
        <v>11</v>
      </c>
      <c r="D740" s="32"/>
      <c r="E740" s="148"/>
      <c r="F740" s="29" t="s">
        <v>23</v>
      </c>
      <c r="G740" s="33" t="s">
        <v>629</v>
      </c>
      <c r="H740" s="64">
        <v>1</v>
      </c>
      <c r="I740" s="64"/>
      <c r="J740" s="64">
        <f>+'INVENTARIO ENERO-MARZO 2021'!$H740-'INVENTARIO ENERO-MARZO 2021'!$I740</f>
        <v>1</v>
      </c>
      <c r="K740" s="64"/>
      <c r="L740" s="64"/>
      <c r="M740" s="64"/>
      <c r="N740" s="64"/>
      <c r="O740" s="64">
        <f>+Tabla1[[#This Row],[STOCK    FISICO ENERO 2021]]-Tabla1[[#This Row],[REQUISICIONES FEBRERO 2021]]</f>
        <v>1</v>
      </c>
      <c r="P740" s="64">
        <f>+Tabla1[[#This Row],[STOCK  FEBRERO 2021]]-Tabla1[[#This Row],[REQUISICIONES MARZO 2021]]+Tabla1[[#This Row],[ENTRADAS MARZO 2021]]</f>
        <v>1</v>
      </c>
      <c r="Q740" s="31" t="s">
        <v>12</v>
      </c>
      <c r="R740" s="35">
        <v>22788.560000000001</v>
      </c>
      <c r="S740" s="36">
        <f>R740*0.18+R740</f>
        <v>26890.500800000002</v>
      </c>
      <c r="T740" s="100">
        <f>Tabla1[[#This Row],[STOCK MARZO ]]*Tabla1[[#This Row],[COSTO UNITARIO SIN ITBIS]]</f>
        <v>22788.560000000001</v>
      </c>
    </row>
    <row r="741" spans="1:20" s="11" customFormat="1" x14ac:dyDescent="0.25">
      <c r="A741" s="97">
        <v>3</v>
      </c>
      <c r="B741" s="139">
        <v>44027</v>
      </c>
      <c r="C741" s="140" t="s">
        <v>11</v>
      </c>
      <c r="D741" s="141">
        <v>44027</v>
      </c>
      <c r="E741" s="149"/>
      <c r="F741" s="142">
        <v>1678</v>
      </c>
      <c r="G741" s="130" t="s">
        <v>794</v>
      </c>
      <c r="H741" s="131"/>
      <c r="I741" s="131"/>
      <c r="J741" s="131">
        <f>+'INVENTARIO ENERO-MARZO 2021'!$H741-'INVENTARIO ENERO-MARZO 2021'!$I741+2</f>
        <v>2</v>
      </c>
      <c r="K741" s="131"/>
      <c r="L741" s="131"/>
      <c r="M741" s="131"/>
      <c r="N741" s="131">
        <v>1</v>
      </c>
      <c r="O741" s="132">
        <f>+Tabla1[[#This Row],[STOCK    FISICO ENERO 2021]]-Tabla1[[#This Row],[REQUISICIONES FEBRERO 2021]]</f>
        <v>2</v>
      </c>
      <c r="P741" s="132">
        <f>+Tabla1[[#This Row],[STOCK  FEBRERO 2021]]-Tabla1[[#This Row],[REQUISICIONES MARZO 2021]]+Tabla1[[#This Row],[ENTRADAS MARZO 2021]]</f>
        <v>1</v>
      </c>
      <c r="Q741" s="138" t="s">
        <v>112</v>
      </c>
      <c r="R741" s="143">
        <v>2830.23</v>
      </c>
      <c r="S741" s="144">
        <f t="shared" ref="S741" si="33">R741*0.18+R741</f>
        <v>3339.6714000000002</v>
      </c>
      <c r="T741" s="135">
        <f>J741*R741</f>
        <v>5660.46</v>
      </c>
    </row>
    <row r="742" spans="1:20" s="9" customFormat="1" x14ac:dyDescent="0.25">
      <c r="A742" s="97">
        <v>4</v>
      </c>
      <c r="B742" s="32"/>
      <c r="C742" s="14"/>
      <c r="D742" s="32"/>
      <c r="E742" s="148"/>
      <c r="F742" s="29"/>
      <c r="G742" s="33" t="s">
        <v>750</v>
      </c>
      <c r="H742" s="64">
        <v>4</v>
      </c>
      <c r="I742" s="64"/>
      <c r="J742" s="64">
        <f>+'INVENTARIO ENERO-MARZO 2021'!$H742-'INVENTARIO ENERO-MARZO 2021'!$I742</f>
        <v>4</v>
      </c>
      <c r="K742" s="64"/>
      <c r="L742" s="64"/>
      <c r="M742" s="64"/>
      <c r="N742" s="64"/>
      <c r="O742" s="64">
        <f>+Tabla1[[#This Row],[STOCK    FISICO ENERO 2021]]-Tabla1[[#This Row],[REQUISICIONES FEBRERO 2021]]</f>
        <v>4</v>
      </c>
      <c r="P742" s="64">
        <f>+Tabla1[[#This Row],[STOCK  FEBRERO 2021]]-Tabla1[[#This Row],[REQUISICIONES MARZO 2021]]+Tabla1[[#This Row],[ENTRADAS MARZO 2021]]</f>
        <v>4</v>
      </c>
      <c r="Q742" s="31" t="s">
        <v>12</v>
      </c>
      <c r="R742" s="35"/>
      <c r="S742" s="36"/>
      <c r="T742" s="100">
        <f>Tabla1[[#This Row],[STOCK MARZO ]]*Tabla1[[#This Row],[COSTO UNITARIO SIN ITBIS]]</f>
        <v>0</v>
      </c>
    </row>
    <row r="743" spans="1:20" s="9" customFormat="1" x14ac:dyDescent="0.25">
      <c r="A743" s="97">
        <v>5</v>
      </c>
      <c r="B743" s="76">
        <v>44028</v>
      </c>
      <c r="C743" s="14" t="s">
        <v>11</v>
      </c>
      <c r="D743" s="76">
        <v>44028</v>
      </c>
      <c r="E743" s="156"/>
      <c r="F743" s="14">
        <v>1773</v>
      </c>
      <c r="G743" s="77" t="s">
        <v>630</v>
      </c>
      <c r="H743" s="74">
        <v>0</v>
      </c>
      <c r="I743" s="74"/>
      <c r="J743" s="74">
        <f>+'INVENTARIO ENERO-MARZO 2021'!$H743-'INVENTARIO ENERO-MARZO 2021'!$I743</f>
        <v>0</v>
      </c>
      <c r="K743" s="74"/>
      <c r="L743" s="74"/>
      <c r="M743" s="74"/>
      <c r="N743" s="74"/>
      <c r="O743" s="74">
        <f>+Tabla1[[#This Row],[STOCK    FISICO ENERO 2021]]-Tabla1[[#This Row],[REQUISICIONES FEBRERO 2021]]</f>
        <v>0</v>
      </c>
      <c r="P743" s="74">
        <f>+Tabla1[[#This Row],[STOCK  FEBRERO 2021]]-Tabla1[[#This Row],[REQUISICIONES MARZO 2021]]+Tabla1[[#This Row],[ENTRADAS MARZO 2021]]</f>
        <v>0</v>
      </c>
      <c r="Q743" s="31" t="s">
        <v>12</v>
      </c>
      <c r="R743" s="78">
        <v>2818.8</v>
      </c>
      <c r="S743" s="36">
        <f t="shared" ref="S743:S777" si="34">R743*0.18+R743</f>
        <v>3326.1840000000002</v>
      </c>
      <c r="T743" s="100">
        <f>Tabla1[[#This Row],[STOCK MARZO ]]*Tabla1[[#This Row],[COSTO UNITARIO SIN ITBIS]]</f>
        <v>0</v>
      </c>
    </row>
    <row r="744" spans="1:20" s="9" customFormat="1" ht="16.5" customHeight="1" x14ac:dyDescent="0.25">
      <c r="A744" s="97">
        <v>6</v>
      </c>
      <c r="B744" s="32">
        <v>44028</v>
      </c>
      <c r="C744" s="14" t="s">
        <v>11</v>
      </c>
      <c r="D744" s="32">
        <v>44028</v>
      </c>
      <c r="E744" s="148"/>
      <c r="F744" s="29">
        <v>1817</v>
      </c>
      <c r="G744" s="33" t="s">
        <v>631</v>
      </c>
      <c r="H744" s="64">
        <v>1</v>
      </c>
      <c r="I744" s="64"/>
      <c r="J744" s="64">
        <f>+'INVENTARIO ENERO-MARZO 2021'!$H744-'INVENTARIO ENERO-MARZO 2021'!$I744</f>
        <v>1</v>
      </c>
      <c r="K744" s="64"/>
      <c r="L744" s="64"/>
      <c r="M744" s="64"/>
      <c r="N744" s="64"/>
      <c r="O744" s="64">
        <f>+Tabla1[[#This Row],[STOCK    FISICO ENERO 2021]]-Tabla1[[#This Row],[REQUISICIONES FEBRERO 2021]]</f>
        <v>1</v>
      </c>
      <c r="P744" s="64">
        <f>+Tabla1[[#This Row],[STOCK  FEBRERO 2021]]-Tabla1[[#This Row],[REQUISICIONES MARZO 2021]]+Tabla1[[#This Row],[ENTRADAS MARZO 2021]]</f>
        <v>1</v>
      </c>
      <c r="Q744" s="31" t="s">
        <v>12</v>
      </c>
      <c r="R744" s="35">
        <v>2164.8000000000002</v>
      </c>
      <c r="S744" s="36">
        <f t="shared" si="34"/>
        <v>2554.4640000000004</v>
      </c>
      <c r="T744" s="100">
        <f>Tabla1[[#This Row],[STOCK MARZO ]]*Tabla1[[#This Row],[COSTO UNITARIO SIN ITBIS]]</f>
        <v>2164.8000000000002</v>
      </c>
    </row>
    <row r="745" spans="1:20" s="9" customFormat="1" x14ac:dyDescent="0.25">
      <c r="A745" s="97">
        <v>7</v>
      </c>
      <c r="B745" s="76">
        <v>44028</v>
      </c>
      <c r="C745" s="14" t="s">
        <v>11</v>
      </c>
      <c r="D745" s="76">
        <v>44028</v>
      </c>
      <c r="E745" s="156"/>
      <c r="F745" s="14">
        <v>1764</v>
      </c>
      <c r="G745" s="77" t="s">
        <v>632</v>
      </c>
      <c r="H745" s="74">
        <v>2</v>
      </c>
      <c r="I745" s="74"/>
      <c r="J745" s="74">
        <f>+'INVENTARIO ENERO-MARZO 2021'!$H745-'INVENTARIO ENERO-MARZO 2021'!$I745</f>
        <v>2</v>
      </c>
      <c r="K745" s="74"/>
      <c r="L745" s="74"/>
      <c r="M745" s="74"/>
      <c r="N745" s="74"/>
      <c r="O745" s="74">
        <f>+Tabla1[[#This Row],[STOCK    FISICO ENERO 2021]]-Tabla1[[#This Row],[REQUISICIONES FEBRERO 2021]]</f>
        <v>2</v>
      </c>
      <c r="P745" s="74">
        <f>+Tabla1[[#This Row],[STOCK  FEBRERO 2021]]-Tabla1[[#This Row],[REQUISICIONES MARZO 2021]]+Tabla1[[#This Row],[ENTRADAS MARZO 2021]]</f>
        <v>2</v>
      </c>
      <c r="Q745" s="31" t="s">
        <v>12</v>
      </c>
      <c r="R745" s="78">
        <v>177.97</v>
      </c>
      <c r="S745" s="36">
        <f t="shared" si="34"/>
        <v>210.00459999999998</v>
      </c>
      <c r="T745" s="100">
        <f>Tabla1[[#This Row],[STOCK MARZO ]]*Tabla1[[#This Row],[COSTO UNITARIO SIN ITBIS]]</f>
        <v>355.94</v>
      </c>
    </row>
    <row r="746" spans="1:20" s="9" customFormat="1" ht="16.5" customHeight="1" x14ac:dyDescent="0.25">
      <c r="A746" s="97">
        <v>8</v>
      </c>
      <c r="B746" s="32">
        <v>44028</v>
      </c>
      <c r="C746" s="14" t="s">
        <v>11</v>
      </c>
      <c r="D746" s="32">
        <v>44028</v>
      </c>
      <c r="E746" s="148"/>
      <c r="F746" s="29">
        <v>1763</v>
      </c>
      <c r="G746" s="33" t="s">
        <v>741</v>
      </c>
      <c r="H746" s="64">
        <v>1</v>
      </c>
      <c r="I746" s="64"/>
      <c r="J746" s="64">
        <f>+'INVENTARIO ENERO-MARZO 2021'!$H746-'INVENTARIO ENERO-MARZO 2021'!$I746</f>
        <v>1</v>
      </c>
      <c r="K746" s="64"/>
      <c r="L746" s="64"/>
      <c r="M746" s="64"/>
      <c r="N746" s="64"/>
      <c r="O746" s="64">
        <f>+Tabla1[[#This Row],[STOCK    FISICO ENERO 2021]]-Tabla1[[#This Row],[REQUISICIONES FEBRERO 2021]]</f>
        <v>1</v>
      </c>
      <c r="P746" s="64">
        <f>+Tabla1[[#This Row],[STOCK  FEBRERO 2021]]-Tabla1[[#This Row],[REQUISICIONES MARZO 2021]]+Tabla1[[#This Row],[ENTRADAS MARZO 2021]]</f>
        <v>1</v>
      </c>
      <c r="Q746" s="31" t="s">
        <v>12</v>
      </c>
      <c r="R746" s="35">
        <v>177.97</v>
      </c>
      <c r="S746" s="36">
        <f t="shared" si="34"/>
        <v>210.00459999999998</v>
      </c>
      <c r="T746" s="100">
        <f>Tabla1[[#This Row],[STOCK MARZO ]]*Tabla1[[#This Row],[COSTO UNITARIO SIN ITBIS]]</f>
        <v>177.97</v>
      </c>
    </row>
    <row r="747" spans="1:20" s="9" customFormat="1" ht="15.75" customHeight="1" x14ac:dyDescent="0.25">
      <c r="A747" s="97">
        <v>9</v>
      </c>
      <c r="B747" s="32">
        <v>44110</v>
      </c>
      <c r="C747" s="14" t="s">
        <v>11</v>
      </c>
      <c r="D747" s="32">
        <v>44110</v>
      </c>
      <c r="E747" s="148"/>
      <c r="F747" s="14"/>
      <c r="G747" s="77" t="s">
        <v>633</v>
      </c>
      <c r="H747" s="74">
        <v>1</v>
      </c>
      <c r="I747" s="74"/>
      <c r="J747" s="74">
        <f>+'INVENTARIO ENERO-MARZO 2021'!$H747-'INVENTARIO ENERO-MARZO 2021'!$I747</f>
        <v>1</v>
      </c>
      <c r="K747" s="74"/>
      <c r="L747" s="74"/>
      <c r="M747" s="74"/>
      <c r="N747" s="74"/>
      <c r="O747" s="74">
        <f>+Tabla1[[#This Row],[STOCK    FISICO ENERO 2021]]-Tabla1[[#This Row],[REQUISICIONES FEBRERO 2021]]</f>
        <v>1</v>
      </c>
      <c r="P747" s="74">
        <f>+Tabla1[[#This Row],[STOCK  FEBRERO 2021]]-Tabla1[[#This Row],[REQUISICIONES MARZO 2021]]+Tabla1[[#This Row],[ENTRADAS MARZO 2021]]</f>
        <v>1</v>
      </c>
      <c r="Q747" s="31" t="s">
        <v>12</v>
      </c>
      <c r="R747" s="78"/>
      <c r="S747" s="36">
        <f t="shared" si="34"/>
        <v>0</v>
      </c>
      <c r="T747" s="100">
        <f>Tabla1[[#This Row],[STOCK MARZO ]]*Tabla1[[#This Row],[COSTO UNITARIO SIN ITBIS]]</f>
        <v>0</v>
      </c>
    </row>
    <row r="748" spans="1:20" s="9" customFormat="1" x14ac:dyDescent="0.25">
      <c r="A748" s="97">
        <v>10</v>
      </c>
      <c r="B748" s="76">
        <v>44168</v>
      </c>
      <c r="C748" s="14" t="s">
        <v>11</v>
      </c>
      <c r="D748" s="76">
        <v>44151</v>
      </c>
      <c r="E748" s="156"/>
      <c r="F748" s="29" t="s">
        <v>23</v>
      </c>
      <c r="G748" s="33" t="s">
        <v>634</v>
      </c>
      <c r="H748" s="64">
        <v>3</v>
      </c>
      <c r="I748" s="64"/>
      <c r="J748" s="64">
        <f>+'INVENTARIO ENERO-MARZO 2021'!$H748-'INVENTARIO ENERO-MARZO 2021'!$I748</f>
        <v>3</v>
      </c>
      <c r="K748" s="64"/>
      <c r="L748" s="64"/>
      <c r="M748" s="64"/>
      <c r="N748" s="64"/>
      <c r="O748" s="64">
        <f>+Tabla1[[#This Row],[STOCK    FISICO ENERO 2021]]-Tabla1[[#This Row],[REQUISICIONES FEBRERO 2021]]</f>
        <v>3</v>
      </c>
      <c r="P748" s="64">
        <f>+Tabla1[[#This Row],[STOCK  FEBRERO 2021]]-Tabla1[[#This Row],[REQUISICIONES MARZO 2021]]+Tabla1[[#This Row],[ENTRADAS MARZO 2021]]</f>
        <v>3</v>
      </c>
      <c r="Q748" s="75" t="s">
        <v>112</v>
      </c>
      <c r="R748" s="35">
        <v>0</v>
      </c>
      <c r="S748" s="36">
        <f t="shared" si="34"/>
        <v>0</v>
      </c>
      <c r="T748" s="100">
        <f>Tabla1[[#This Row],[STOCK MARZO ]]*Tabla1[[#This Row],[COSTO UNITARIO SIN ITBIS]]</f>
        <v>0</v>
      </c>
    </row>
    <row r="749" spans="1:20" s="9" customFormat="1" x14ac:dyDescent="0.25">
      <c r="A749" s="97">
        <v>11</v>
      </c>
      <c r="B749" s="32">
        <v>44028</v>
      </c>
      <c r="C749" s="14" t="s">
        <v>11</v>
      </c>
      <c r="D749" s="32">
        <v>44028</v>
      </c>
      <c r="E749" s="148"/>
      <c r="F749" s="29">
        <v>1789</v>
      </c>
      <c r="G749" s="33" t="s">
        <v>635</v>
      </c>
      <c r="H749" s="64">
        <v>1</v>
      </c>
      <c r="I749" s="64"/>
      <c r="J749" s="64">
        <f>+'INVENTARIO ENERO-MARZO 2021'!$H749-'INVENTARIO ENERO-MARZO 2021'!$I749</f>
        <v>1</v>
      </c>
      <c r="K749" s="64"/>
      <c r="L749" s="64"/>
      <c r="M749" s="64"/>
      <c r="N749" s="64"/>
      <c r="O749" s="64">
        <f>+Tabla1[[#This Row],[STOCK    FISICO ENERO 2021]]-Tabla1[[#This Row],[REQUISICIONES FEBRERO 2021]]</f>
        <v>1</v>
      </c>
      <c r="P749" s="64">
        <f>+Tabla1[[#This Row],[STOCK  FEBRERO 2021]]-Tabla1[[#This Row],[REQUISICIONES MARZO 2021]]+Tabla1[[#This Row],[ENTRADAS MARZO 2021]]</f>
        <v>1</v>
      </c>
      <c r="Q749" s="31" t="s">
        <v>112</v>
      </c>
      <c r="R749" s="35">
        <v>390</v>
      </c>
      <c r="S749" s="36">
        <f t="shared" si="34"/>
        <v>460.2</v>
      </c>
      <c r="T749" s="100">
        <f>Tabla1[[#This Row],[STOCK MARZO ]]*Tabla1[[#This Row],[COSTO UNITARIO SIN ITBIS]]</f>
        <v>390</v>
      </c>
    </row>
    <row r="750" spans="1:20" s="9" customFormat="1" x14ac:dyDescent="0.25">
      <c r="A750" s="97">
        <v>12</v>
      </c>
      <c r="B750" s="76">
        <v>44028</v>
      </c>
      <c r="C750" s="14" t="s">
        <v>11</v>
      </c>
      <c r="D750" s="76">
        <v>44028</v>
      </c>
      <c r="E750" s="156"/>
      <c r="F750" s="14">
        <v>1822</v>
      </c>
      <c r="G750" s="77" t="s">
        <v>636</v>
      </c>
      <c r="H750" s="74">
        <v>1</v>
      </c>
      <c r="I750" s="74"/>
      <c r="J750" s="74">
        <f>+'INVENTARIO ENERO-MARZO 2021'!$H750-'INVENTARIO ENERO-MARZO 2021'!$I750</f>
        <v>1</v>
      </c>
      <c r="K750" s="74"/>
      <c r="L750" s="74"/>
      <c r="M750" s="74"/>
      <c r="N750" s="74"/>
      <c r="O750" s="74">
        <f>+Tabla1[[#This Row],[STOCK    FISICO ENERO 2021]]-Tabla1[[#This Row],[REQUISICIONES FEBRERO 2021]]</f>
        <v>1</v>
      </c>
      <c r="P750" s="74">
        <f>+Tabla1[[#This Row],[STOCK  FEBRERO 2021]]-Tabla1[[#This Row],[REQUISICIONES MARZO 2021]]+Tabla1[[#This Row],[ENTRADAS MARZO 2021]]</f>
        <v>1</v>
      </c>
      <c r="Q750" s="75" t="s">
        <v>112</v>
      </c>
      <c r="R750" s="78">
        <v>196.8</v>
      </c>
      <c r="S750" s="36">
        <f t="shared" si="34"/>
        <v>232.22400000000002</v>
      </c>
      <c r="T750" s="100">
        <f>Tabla1[[#This Row],[STOCK MARZO ]]*Tabla1[[#This Row],[COSTO UNITARIO SIN ITBIS]]</f>
        <v>196.8</v>
      </c>
    </row>
    <row r="751" spans="1:20" s="9" customFormat="1" x14ac:dyDescent="0.25">
      <c r="A751" s="97">
        <v>13</v>
      </c>
      <c r="B751" s="76">
        <v>44028</v>
      </c>
      <c r="C751" s="14" t="s">
        <v>11</v>
      </c>
      <c r="D751" s="76">
        <v>44028</v>
      </c>
      <c r="E751" s="156"/>
      <c r="F751" s="14">
        <v>1782</v>
      </c>
      <c r="G751" s="77" t="s">
        <v>637</v>
      </c>
      <c r="H751" s="74">
        <v>5</v>
      </c>
      <c r="I751" s="74"/>
      <c r="J751" s="74">
        <f>+'INVENTARIO ENERO-MARZO 2021'!$H751-'INVENTARIO ENERO-MARZO 2021'!$I751</f>
        <v>5</v>
      </c>
      <c r="K751" s="74"/>
      <c r="L751" s="74"/>
      <c r="M751" s="74"/>
      <c r="N751" s="74"/>
      <c r="O751" s="74">
        <f>+Tabla1[[#This Row],[STOCK    FISICO ENERO 2021]]-Tabla1[[#This Row],[REQUISICIONES FEBRERO 2021]]</f>
        <v>5</v>
      </c>
      <c r="P751" s="74">
        <f>+Tabla1[[#This Row],[STOCK  FEBRERO 2021]]-Tabla1[[#This Row],[REQUISICIONES MARZO 2021]]+Tabla1[[#This Row],[ENTRADAS MARZO 2021]]</f>
        <v>5</v>
      </c>
      <c r="Q751" s="75" t="s">
        <v>112</v>
      </c>
      <c r="R751" s="78">
        <v>60</v>
      </c>
      <c r="S751" s="36">
        <f t="shared" si="34"/>
        <v>70.8</v>
      </c>
      <c r="T751" s="100">
        <f>Tabla1[[#This Row],[STOCK MARZO ]]*Tabla1[[#This Row],[COSTO UNITARIO SIN ITBIS]]</f>
        <v>300</v>
      </c>
    </row>
    <row r="752" spans="1:20" s="9" customFormat="1" x14ac:dyDescent="0.25">
      <c r="A752" s="97">
        <v>14</v>
      </c>
      <c r="B752" s="76">
        <v>44028</v>
      </c>
      <c r="C752" s="14" t="s">
        <v>11</v>
      </c>
      <c r="D752" s="76">
        <v>44028</v>
      </c>
      <c r="E752" s="156"/>
      <c r="F752" s="14">
        <v>1765</v>
      </c>
      <c r="G752" s="77" t="s">
        <v>638</v>
      </c>
      <c r="H752" s="74">
        <v>1</v>
      </c>
      <c r="I752" s="74"/>
      <c r="J752" s="74">
        <f>+'INVENTARIO ENERO-MARZO 2021'!$H752-'INVENTARIO ENERO-MARZO 2021'!$I752</f>
        <v>1</v>
      </c>
      <c r="K752" s="74"/>
      <c r="L752" s="74"/>
      <c r="M752" s="74"/>
      <c r="N752" s="74"/>
      <c r="O752" s="74">
        <f>+Tabla1[[#This Row],[STOCK    FISICO ENERO 2021]]-Tabla1[[#This Row],[REQUISICIONES FEBRERO 2021]]</f>
        <v>1</v>
      </c>
      <c r="P752" s="74">
        <f>+Tabla1[[#This Row],[STOCK  FEBRERO 2021]]-Tabla1[[#This Row],[REQUISICIONES MARZO 2021]]+Tabla1[[#This Row],[ENTRADAS MARZO 2021]]</f>
        <v>1</v>
      </c>
      <c r="Q752" s="75" t="s">
        <v>112</v>
      </c>
      <c r="R752" s="78">
        <v>9348</v>
      </c>
      <c r="S752" s="36">
        <f t="shared" si="34"/>
        <v>11030.64</v>
      </c>
      <c r="T752" s="100">
        <f>Tabla1[[#This Row],[STOCK MARZO ]]*Tabla1[[#This Row],[COSTO UNITARIO SIN ITBIS]]</f>
        <v>9348</v>
      </c>
    </row>
    <row r="753" spans="1:20" s="9" customFormat="1" x14ac:dyDescent="0.25">
      <c r="A753" s="97">
        <v>15</v>
      </c>
      <c r="B753" s="32">
        <v>44027</v>
      </c>
      <c r="C753" s="14" t="s">
        <v>11</v>
      </c>
      <c r="D753" s="32">
        <v>44027</v>
      </c>
      <c r="E753" s="148"/>
      <c r="F753" s="29">
        <v>1733</v>
      </c>
      <c r="G753" s="33" t="s">
        <v>639</v>
      </c>
      <c r="H753" s="64">
        <v>2</v>
      </c>
      <c r="I753" s="64"/>
      <c r="J753" s="64">
        <f>+'INVENTARIO ENERO-MARZO 2021'!$H753-'INVENTARIO ENERO-MARZO 2021'!$I753</f>
        <v>2</v>
      </c>
      <c r="K753" s="64"/>
      <c r="L753" s="64"/>
      <c r="M753" s="64"/>
      <c r="N753" s="64"/>
      <c r="O753" s="64">
        <f>+Tabla1[[#This Row],[STOCK    FISICO ENERO 2021]]-Tabla1[[#This Row],[REQUISICIONES FEBRERO 2021]]</f>
        <v>2</v>
      </c>
      <c r="P753" s="64">
        <f>+Tabla1[[#This Row],[STOCK  FEBRERO 2021]]-Tabla1[[#This Row],[REQUISICIONES MARZO 2021]]+Tabla1[[#This Row],[ENTRADAS MARZO 2021]]</f>
        <v>2</v>
      </c>
      <c r="Q753" s="31" t="s">
        <v>12</v>
      </c>
      <c r="R753" s="35">
        <v>152.54</v>
      </c>
      <c r="S753" s="36">
        <f t="shared" si="34"/>
        <v>179.99719999999999</v>
      </c>
      <c r="T753" s="100">
        <f>Tabla1[[#This Row],[STOCK MARZO ]]*Tabla1[[#This Row],[COSTO UNITARIO SIN ITBIS]]</f>
        <v>305.08</v>
      </c>
    </row>
    <row r="754" spans="1:20" s="9" customFormat="1" x14ac:dyDescent="0.25">
      <c r="A754" s="97">
        <v>16</v>
      </c>
      <c r="B754" s="32">
        <v>44027</v>
      </c>
      <c r="C754" s="14" t="s">
        <v>11</v>
      </c>
      <c r="D754" s="32">
        <v>44027</v>
      </c>
      <c r="E754" s="148"/>
      <c r="F754" s="29">
        <v>1749</v>
      </c>
      <c r="G754" s="33" t="s">
        <v>640</v>
      </c>
      <c r="H754" s="64"/>
      <c r="I754" s="64"/>
      <c r="J754" s="64">
        <f>+'INVENTARIO ENERO-MARZO 2021'!$H754-'INVENTARIO ENERO-MARZO 2021'!$I754</f>
        <v>0</v>
      </c>
      <c r="K754" s="64"/>
      <c r="L754" s="64"/>
      <c r="M754" s="64"/>
      <c r="N754" s="64"/>
      <c r="O754" s="64">
        <f>+Tabla1[[#This Row],[STOCK    FISICO ENERO 2021]]-Tabla1[[#This Row],[REQUISICIONES FEBRERO 2021]]</f>
        <v>0</v>
      </c>
      <c r="P754" s="64">
        <f>+Tabla1[[#This Row],[STOCK  FEBRERO 2021]]-Tabla1[[#This Row],[REQUISICIONES MARZO 2021]]+Tabla1[[#This Row],[ENTRADAS MARZO 2021]]</f>
        <v>0</v>
      </c>
      <c r="Q754" s="31" t="s">
        <v>12</v>
      </c>
      <c r="R754" s="35">
        <v>3148.8</v>
      </c>
      <c r="S754" s="36">
        <f t="shared" si="34"/>
        <v>3715.5840000000003</v>
      </c>
      <c r="T754" s="100">
        <f>Tabla1[[#This Row],[STOCK MARZO ]]*Tabla1[[#This Row],[COSTO UNITARIO SIN ITBIS]]</f>
        <v>0</v>
      </c>
    </row>
    <row r="755" spans="1:20" s="9" customFormat="1" x14ac:dyDescent="0.25">
      <c r="A755" s="97">
        <v>17</v>
      </c>
      <c r="B755" s="32">
        <v>44168</v>
      </c>
      <c r="C755" s="14" t="s">
        <v>11</v>
      </c>
      <c r="D755" s="32">
        <v>44151</v>
      </c>
      <c r="E755" s="148"/>
      <c r="F755" s="29">
        <v>1306</v>
      </c>
      <c r="G755" s="33" t="s">
        <v>641</v>
      </c>
      <c r="H755" s="64">
        <v>19</v>
      </c>
      <c r="I755" s="64"/>
      <c r="J755" s="64">
        <f>+'INVENTARIO ENERO-MARZO 2021'!$H755-'INVENTARIO ENERO-MARZO 2021'!$I755</f>
        <v>19</v>
      </c>
      <c r="K755" s="64"/>
      <c r="L755" s="64"/>
      <c r="M755" s="64">
        <v>2</v>
      </c>
      <c r="N755" s="64"/>
      <c r="O755" s="64">
        <f>+Tabla1[[#This Row],[STOCK    FISICO ENERO 2021]]-Tabla1[[#This Row],[REQUISICIONES FEBRERO 2021]]</f>
        <v>17</v>
      </c>
      <c r="P755" s="64">
        <f>+Tabla1[[#This Row],[STOCK  FEBRERO 2021]]-Tabla1[[#This Row],[REQUISICIONES MARZO 2021]]+Tabla1[[#This Row],[ENTRADAS MARZO 2021]]</f>
        <v>17</v>
      </c>
      <c r="Q755" s="31" t="s">
        <v>12</v>
      </c>
      <c r="R755" s="35">
        <v>200</v>
      </c>
      <c r="S755" s="36">
        <f t="shared" si="34"/>
        <v>236</v>
      </c>
      <c r="T755" s="100">
        <f>Tabla1[[#This Row],[STOCK MARZO ]]*Tabla1[[#This Row],[COSTO UNITARIO SIN ITBIS]]</f>
        <v>3400</v>
      </c>
    </row>
    <row r="756" spans="1:20" s="9" customFormat="1" x14ac:dyDescent="0.25">
      <c r="A756" s="97">
        <v>18</v>
      </c>
      <c r="B756" s="76">
        <v>44027</v>
      </c>
      <c r="C756" s="14" t="s">
        <v>11</v>
      </c>
      <c r="D756" s="76">
        <v>44027</v>
      </c>
      <c r="E756" s="156"/>
      <c r="F756" s="14">
        <v>1759</v>
      </c>
      <c r="G756" s="77" t="s">
        <v>743</v>
      </c>
      <c r="H756" s="74">
        <v>2</v>
      </c>
      <c r="I756" s="74"/>
      <c r="J756" s="74">
        <f>+'INVENTARIO ENERO-MARZO 2021'!$H756-'INVENTARIO ENERO-MARZO 2021'!$I756</f>
        <v>2</v>
      </c>
      <c r="K756" s="74"/>
      <c r="L756" s="74"/>
      <c r="M756" s="74"/>
      <c r="N756" s="74">
        <v>1</v>
      </c>
      <c r="O756" s="74">
        <f>+Tabla1[[#This Row],[STOCK    FISICO ENERO 2021]]-Tabla1[[#This Row],[REQUISICIONES FEBRERO 2021]]</f>
        <v>2</v>
      </c>
      <c r="P756" s="74">
        <f>+Tabla1[[#This Row],[STOCK  FEBRERO 2021]]-Tabla1[[#This Row],[REQUISICIONES MARZO 2021]]+Tabla1[[#This Row],[ENTRADAS MARZO 2021]]</f>
        <v>1</v>
      </c>
      <c r="Q756" s="75" t="s">
        <v>12</v>
      </c>
      <c r="R756" s="78">
        <v>364.08</v>
      </c>
      <c r="S756" s="36">
        <f t="shared" si="34"/>
        <v>429.61439999999999</v>
      </c>
      <c r="T756" s="100">
        <f>Tabla1[[#This Row],[STOCK MARZO ]]*Tabla1[[#This Row],[COSTO UNITARIO SIN ITBIS]]</f>
        <v>364.08</v>
      </c>
    </row>
    <row r="757" spans="1:20" s="9" customFormat="1" x14ac:dyDescent="0.25">
      <c r="A757" s="97">
        <v>19</v>
      </c>
      <c r="B757" s="32">
        <v>44028</v>
      </c>
      <c r="C757" s="14" t="s">
        <v>11</v>
      </c>
      <c r="D757" s="32">
        <v>44028</v>
      </c>
      <c r="E757" s="148"/>
      <c r="F757" s="29">
        <v>1819</v>
      </c>
      <c r="G757" s="33" t="s">
        <v>744</v>
      </c>
      <c r="H757" s="64">
        <v>2</v>
      </c>
      <c r="I757" s="64"/>
      <c r="J757" s="64">
        <f>+'INVENTARIO ENERO-MARZO 2021'!$H757-'INVENTARIO ENERO-MARZO 2021'!$I757</f>
        <v>2</v>
      </c>
      <c r="K757" s="64"/>
      <c r="L757" s="64"/>
      <c r="M757" s="64"/>
      <c r="N757" s="64"/>
      <c r="O757" s="64">
        <f>+Tabla1[[#This Row],[STOCK    FISICO ENERO 2021]]-Tabla1[[#This Row],[REQUISICIONES FEBRERO 2021]]</f>
        <v>2</v>
      </c>
      <c r="P757" s="64">
        <f>+Tabla1[[#This Row],[STOCK  FEBRERO 2021]]-Tabla1[[#This Row],[REQUISICIONES MARZO 2021]]+Tabla1[[#This Row],[ENTRADAS MARZO 2021]]</f>
        <v>2</v>
      </c>
      <c r="Q757" s="31" t="s">
        <v>112</v>
      </c>
      <c r="R757" s="35">
        <v>136.80000000000001</v>
      </c>
      <c r="S757" s="36">
        <f t="shared" si="34"/>
        <v>161.42400000000001</v>
      </c>
      <c r="T757" s="100">
        <f>Tabla1[[#This Row],[STOCK MARZO ]]*Tabla1[[#This Row],[COSTO UNITARIO SIN ITBIS]]</f>
        <v>273.60000000000002</v>
      </c>
    </row>
    <row r="758" spans="1:20" s="9" customFormat="1" x14ac:dyDescent="0.25">
      <c r="A758" s="97">
        <v>20</v>
      </c>
      <c r="B758" s="32">
        <v>44027</v>
      </c>
      <c r="C758" s="14" t="s">
        <v>11</v>
      </c>
      <c r="D758" s="32">
        <v>44027</v>
      </c>
      <c r="E758" s="148"/>
      <c r="F758" s="29">
        <v>1754</v>
      </c>
      <c r="G758" s="33" t="s">
        <v>642</v>
      </c>
      <c r="H758" s="64">
        <v>1</v>
      </c>
      <c r="I758" s="64"/>
      <c r="J758" s="64">
        <f>+'INVENTARIO ENERO-MARZO 2021'!$H758-'INVENTARIO ENERO-MARZO 2021'!$I758</f>
        <v>1</v>
      </c>
      <c r="K758" s="64"/>
      <c r="L758" s="64"/>
      <c r="M758" s="64"/>
      <c r="N758" s="64"/>
      <c r="O758" s="64">
        <f>+Tabla1[[#This Row],[STOCK    FISICO ENERO 2021]]-Tabla1[[#This Row],[REQUISICIONES FEBRERO 2021]]</f>
        <v>1</v>
      </c>
      <c r="P758" s="64">
        <f>+Tabla1[[#This Row],[STOCK  FEBRERO 2021]]-Tabla1[[#This Row],[REQUISICIONES MARZO 2021]]+Tabla1[[#This Row],[ENTRADAS MARZO 2021]]</f>
        <v>1</v>
      </c>
      <c r="Q758" s="31" t="s">
        <v>12</v>
      </c>
      <c r="R758" s="35">
        <v>1141.44</v>
      </c>
      <c r="S758" s="36">
        <f t="shared" si="34"/>
        <v>1346.8992000000001</v>
      </c>
      <c r="T758" s="100">
        <f>Tabla1[[#This Row],[STOCK MARZO ]]*Tabla1[[#This Row],[COSTO UNITARIO SIN ITBIS]]</f>
        <v>1141.44</v>
      </c>
    </row>
    <row r="759" spans="1:20" s="9" customFormat="1" x14ac:dyDescent="0.25">
      <c r="A759" s="97">
        <v>21</v>
      </c>
      <c r="B759" s="32">
        <v>44027</v>
      </c>
      <c r="C759" s="14" t="s">
        <v>11</v>
      </c>
      <c r="D759" s="32">
        <v>44027</v>
      </c>
      <c r="E759" s="148"/>
      <c r="F759" s="29">
        <v>1755</v>
      </c>
      <c r="G759" s="33" t="s">
        <v>643</v>
      </c>
      <c r="H759" s="64">
        <v>2</v>
      </c>
      <c r="I759" s="64"/>
      <c r="J759" s="64">
        <f>+'INVENTARIO ENERO-MARZO 2021'!$H759-'INVENTARIO ENERO-MARZO 2021'!$I759</f>
        <v>2</v>
      </c>
      <c r="K759" s="64"/>
      <c r="L759" s="64"/>
      <c r="M759" s="64"/>
      <c r="N759" s="64"/>
      <c r="O759" s="64">
        <f>+Tabla1[[#This Row],[STOCK    FISICO ENERO 2021]]-Tabla1[[#This Row],[REQUISICIONES FEBRERO 2021]]</f>
        <v>2</v>
      </c>
      <c r="P759" s="64">
        <f>+Tabla1[[#This Row],[STOCK  FEBRERO 2021]]-Tabla1[[#This Row],[REQUISICIONES MARZO 2021]]+Tabla1[[#This Row],[ENTRADAS MARZO 2021]]</f>
        <v>2</v>
      </c>
      <c r="Q759" s="31" t="s">
        <v>12</v>
      </c>
      <c r="R759" s="35">
        <v>1672.8</v>
      </c>
      <c r="S759" s="36">
        <f t="shared" si="34"/>
        <v>1973.904</v>
      </c>
      <c r="T759" s="100">
        <f>Tabla1[[#This Row],[STOCK MARZO ]]*Tabla1[[#This Row],[COSTO UNITARIO SIN ITBIS]]</f>
        <v>3345.6</v>
      </c>
    </row>
    <row r="760" spans="1:20" s="9" customFormat="1" x14ac:dyDescent="0.25">
      <c r="A760" s="97">
        <v>22</v>
      </c>
      <c r="B760" s="76">
        <v>44027</v>
      </c>
      <c r="C760" s="14" t="s">
        <v>11</v>
      </c>
      <c r="D760" s="76">
        <v>44027</v>
      </c>
      <c r="E760" s="156"/>
      <c r="F760" s="14">
        <v>1756</v>
      </c>
      <c r="G760" s="77" t="s">
        <v>644</v>
      </c>
      <c r="H760" s="74">
        <v>1</v>
      </c>
      <c r="I760" s="74"/>
      <c r="J760" s="74">
        <f>+'INVENTARIO ENERO-MARZO 2021'!$H760-'INVENTARIO ENERO-MARZO 2021'!$I760</f>
        <v>1</v>
      </c>
      <c r="K760" s="74"/>
      <c r="L760" s="74"/>
      <c r="M760" s="74"/>
      <c r="N760" s="74"/>
      <c r="O760" s="74">
        <f>+Tabla1[[#This Row],[STOCK    FISICO ENERO 2021]]-Tabla1[[#This Row],[REQUISICIONES FEBRERO 2021]]</f>
        <v>1</v>
      </c>
      <c r="P760" s="74">
        <f>+Tabla1[[#This Row],[STOCK  FEBRERO 2021]]-Tabla1[[#This Row],[REQUISICIONES MARZO 2021]]+Tabla1[[#This Row],[ENTRADAS MARZO 2021]]</f>
        <v>1</v>
      </c>
      <c r="Q760" s="75" t="s">
        <v>12</v>
      </c>
      <c r="R760" s="78">
        <v>3296.4</v>
      </c>
      <c r="S760" s="36">
        <f t="shared" si="34"/>
        <v>3889.752</v>
      </c>
      <c r="T760" s="100">
        <f>Tabla1[[#This Row],[STOCK MARZO ]]*Tabla1[[#This Row],[COSTO UNITARIO SIN ITBIS]]</f>
        <v>3296.4</v>
      </c>
    </row>
    <row r="761" spans="1:20" s="9" customFormat="1" x14ac:dyDescent="0.25">
      <c r="A761" s="97">
        <v>23</v>
      </c>
      <c r="B761" s="32">
        <v>44028</v>
      </c>
      <c r="C761" s="14" t="s">
        <v>11</v>
      </c>
      <c r="D761" s="32">
        <v>44028</v>
      </c>
      <c r="E761" s="148"/>
      <c r="F761" s="29">
        <v>1821</v>
      </c>
      <c r="G761" s="33" t="s">
        <v>645</v>
      </c>
      <c r="H761" s="64">
        <v>1</v>
      </c>
      <c r="I761" s="64"/>
      <c r="J761" s="64">
        <f>+'INVENTARIO ENERO-MARZO 2021'!$H761-'INVENTARIO ENERO-MARZO 2021'!$I761</f>
        <v>1</v>
      </c>
      <c r="K761" s="64"/>
      <c r="L761" s="64"/>
      <c r="M761" s="64"/>
      <c r="N761" s="64"/>
      <c r="O761" s="64">
        <f>+Tabla1[[#This Row],[STOCK    FISICO ENERO 2021]]-Tabla1[[#This Row],[REQUISICIONES FEBRERO 2021]]</f>
        <v>1</v>
      </c>
      <c r="P761" s="64">
        <f>+Tabla1[[#This Row],[STOCK  FEBRERO 2021]]-Tabla1[[#This Row],[REQUISICIONES MARZO 2021]]+Tabla1[[#This Row],[ENTRADAS MARZO 2021]]</f>
        <v>1</v>
      </c>
      <c r="Q761" s="31" t="s">
        <v>112</v>
      </c>
      <c r="R761" s="35">
        <v>177.12</v>
      </c>
      <c r="S761" s="36">
        <f t="shared" si="34"/>
        <v>209.0016</v>
      </c>
      <c r="T761" s="100">
        <f>Tabla1[[#This Row],[STOCK MARZO ]]*Tabla1[[#This Row],[COSTO UNITARIO SIN ITBIS]]</f>
        <v>177.12</v>
      </c>
    </row>
    <row r="762" spans="1:20" s="9" customFormat="1" x14ac:dyDescent="0.25">
      <c r="A762" s="97">
        <v>24</v>
      </c>
      <c r="B762" s="32">
        <v>44028</v>
      </c>
      <c r="C762" s="14" t="s">
        <v>11</v>
      </c>
      <c r="D762" s="32">
        <v>44028</v>
      </c>
      <c r="E762" s="148"/>
      <c r="F762" s="29">
        <v>1779</v>
      </c>
      <c r="G762" s="33" t="s">
        <v>745</v>
      </c>
      <c r="H762" s="64">
        <v>1</v>
      </c>
      <c r="I762" s="64"/>
      <c r="J762" s="64">
        <f>+'INVENTARIO ENERO-MARZO 2021'!$H762-'INVENTARIO ENERO-MARZO 2021'!$I762</f>
        <v>1</v>
      </c>
      <c r="K762" s="64"/>
      <c r="L762" s="64"/>
      <c r="M762" s="64"/>
      <c r="N762" s="64">
        <v>1</v>
      </c>
      <c r="O762" s="64">
        <f>+Tabla1[[#This Row],[STOCK    FISICO ENERO 2021]]-Tabla1[[#This Row],[REQUISICIONES FEBRERO 2021]]</f>
        <v>1</v>
      </c>
      <c r="P762" s="64">
        <f>+Tabla1[[#This Row],[STOCK  FEBRERO 2021]]-Tabla1[[#This Row],[REQUISICIONES MARZO 2021]]+Tabla1[[#This Row],[ENTRADAS MARZO 2021]]</f>
        <v>0</v>
      </c>
      <c r="Q762" s="31" t="s">
        <v>112</v>
      </c>
      <c r="R762" s="35">
        <v>295.2</v>
      </c>
      <c r="S762" s="36">
        <f t="shared" si="34"/>
        <v>348.33600000000001</v>
      </c>
      <c r="T762" s="100">
        <f>Tabla1[[#This Row],[STOCK MARZO ]]*Tabla1[[#This Row],[COSTO UNITARIO SIN ITBIS]]</f>
        <v>0</v>
      </c>
    </row>
    <row r="763" spans="1:20" s="9" customFormat="1" x14ac:dyDescent="0.25">
      <c r="A763" s="97">
        <v>25</v>
      </c>
      <c r="B763" s="32">
        <v>44028</v>
      </c>
      <c r="C763" s="14" t="s">
        <v>11</v>
      </c>
      <c r="D763" s="32">
        <v>44028</v>
      </c>
      <c r="E763" s="148"/>
      <c r="F763" s="29">
        <v>1826</v>
      </c>
      <c r="G763" s="33" t="s">
        <v>646</v>
      </c>
      <c r="H763" s="64">
        <v>2</v>
      </c>
      <c r="I763" s="64"/>
      <c r="J763" s="64">
        <f>+'INVENTARIO ENERO-MARZO 2021'!$H763-'INVENTARIO ENERO-MARZO 2021'!$I763</f>
        <v>2</v>
      </c>
      <c r="K763" s="64"/>
      <c r="L763" s="64"/>
      <c r="M763" s="64"/>
      <c r="N763" s="64">
        <v>1</v>
      </c>
      <c r="O763" s="64">
        <f>+Tabla1[[#This Row],[STOCK    FISICO ENERO 2021]]-Tabla1[[#This Row],[REQUISICIONES FEBRERO 2021]]</f>
        <v>2</v>
      </c>
      <c r="P763" s="64">
        <f>+Tabla1[[#This Row],[STOCK  FEBRERO 2021]]-Tabla1[[#This Row],[REQUISICIONES MARZO 2021]]+Tabla1[[#This Row],[ENTRADAS MARZO 2021]]</f>
        <v>1</v>
      </c>
      <c r="Q763" s="31" t="s">
        <v>112</v>
      </c>
      <c r="R763" s="35">
        <v>354.24</v>
      </c>
      <c r="S763" s="36">
        <f t="shared" si="34"/>
        <v>418.00319999999999</v>
      </c>
      <c r="T763" s="100">
        <f>Tabla1[[#This Row],[STOCK MARZO ]]*Tabla1[[#This Row],[COSTO UNITARIO SIN ITBIS]]</f>
        <v>354.24</v>
      </c>
    </row>
    <row r="764" spans="1:20" s="9" customFormat="1" x14ac:dyDescent="0.25">
      <c r="A764" s="97">
        <v>26</v>
      </c>
      <c r="B764" s="32">
        <v>44028</v>
      </c>
      <c r="C764" s="14" t="s">
        <v>11</v>
      </c>
      <c r="D764" s="32">
        <v>44028</v>
      </c>
      <c r="E764" s="148"/>
      <c r="F764" s="29">
        <v>1820</v>
      </c>
      <c r="G764" s="33" t="s">
        <v>746</v>
      </c>
      <c r="H764" s="64">
        <v>2</v>
      </c>
      <c r="I764" s="64"/>
      <c r="J764" s="64">
        <f>+'INVENTARIO ENERO-MARZO 2021'!$H764-'INVENTARIO ENERO-MARZO 2021'!$I764</f>
        <v>2</v>
      </c>
      <c r="K764" s="64"/>
      <c r="L764" s="64"/>
      <c r="M764" s="64"/>
      <c r="N764" s="64"/>
      <c r="O764" s="64">
        <f>+Tabla1[[#This Row],[STOCK    FISICO ENERO 2021]]-Tabla1[[#This Row],[REQUISICIONES FEBRERO 2021]]</f>
        <v>2</v>
      </c>
      <c r="P764" s="64">
        <f>+Tabla1[[#This Row],[STOCK  FEBRERO 2021]]-Tabla1[[#This Row],[REQUISICIONES MARZO 2021]]+Tabla1[[#This Row],[ENTRADAS MARZO 2021]]</f>
        <v>2</v>
      </c>
      <c r="Q764" s="31" t="s">
        <v>112</v>
      </c>
      <c r="R764" s="35">
        <v>314.88</v>
      </c>
      <c r="S764" s="36">
        <f t="shared" si="34"/>
        <v>371.55840000000001</v>
      </c>
      <c r="T764" s="100">
        <f>Tabla1[[#This Row],[STOCK MARZO ]]*Tabla1[[#This Row],[COSTO UNITARIO SIN ITBIS]]</f>
        <v>629.76</v>
      </c>
    </row>
    <row r="765" spans="1:20" s="9" customFormat="1" x14ac:dyDescent="0.25">
      <c r="A765" s="97">
        <v>27</v>
      </c>
      <c r="B765" s="32">
        <v>44027</v>
      </c>
      <c r="C765" s="14" t="s">
        <v>11</v>
      </c>
      <c r="D765" s="32">
        <v>44027</v>
      </c>
      <c r="E765" s="148"/>
      <c r="F765" s="29">
        <v>1738</v>
      </c>
      <c r="G765" s="33" t="s">
        <v>647</v>
      </c>
      <c r="H765" s="64">
        <v>2</v>
      </c>
      <c r="I765" s="64"/>
      <c r="J765" s="64">
        <f>+'INVENTARIO ENERO-MARZO 2021'!$H765-'INVENTARIO ENERO-MARZO 2021'!$I765</f>
        <v>2</v>
      </c>
      <c r="K765" s="64"/>
      <c r="L765" s="64"/>
      <c r="M765" s="64"/>
      <c r="N765" s="64"/>
      <c r="O765" s="64">
        <f>+Tabla1[[#This Row],[STOCK    FISICO ENERO 2021]]-Tabla1[[#This Row],[REQUISICIONES FEBRERO 2021]]</f>
        <v>2</v>
      </c>
      <c r="P765" s="64">
        <f>+Tabla1[[#This Row],[STOCK  FEBRERO 2021]]-Tabla1[[#This Row],[REQUISICIONES MARZO 2021]]+Tabla1[[#This Row],[ENTRADAS MARZO 2021]]</f>
        <v>2</v>
      </c>
      <c r="Q765" s="31" t="s">
        <v>12</v>
      </c>
      <c r="R765" s="35">
        <v>402</v>
      </c>
      <c r="S765" s="36">
        <f t="shared" si="34"/>
        <v>474.36</v>
      </c>
      <c r="T765" s="100">
        <f>Tabla1[[#This Row],[STOCK MARZO ]]*Tabla1[[#This Row],[COSTO UNITARIO SIN ITBIS]]</f>
        <v>804</v>
      </c>
    </row>
    <row r="766" spans="1:20" s="9" customFormat="1" x14ac:dyDescent="0.25">
      <c r="A766" s="97">
        <v>28</v>
      </c>
      <c r="B766" s="32">
        <v>44027</v>
      </c>
      <c r="C766" s="14" t="s">
        <v>11</v>
      </c>
      <c r="D766" s="32">
        <v>44027</v>
      </c>
      <c r="E766" s="148"/>
      <c r="F766" s="29">
        <v>1736</v>
      </c>
      <c r="G766" s="33" t="s">
        <v>648</v>
      </c>
      <c r="H766" s="64">
        <v>3</v>
      </c>
      <c r="I766" s="64"/>
      <c r="J766" s="64">
        <f>+'INVENTARIO ENERO-MARZO 2021'!$H766-'INVENTARIO ENERO-MARZO 2021'!$I766</f>
        <v>3</v>
      </c>
      <c r="K766" s="64"/>
      <c r="L766" s="64"/>
      <c r="M766" s="64"/>
      <c r="N766" s="64"/>
      <c r="O766" s="64">
        <f>+Tabla1[[#This Row],[STOCK    FISICO ENERO 2021]]-Tabla1[[#This Row],[REQUISICIONES FEBRERO 2021]]</f>
        <v>3</v>
      </c>
      <c r="P766" s="64">
        <f>+Tabla1[[#This Row],[STOCK  FEBRERO 2021]]-Tabla1[[#This Row],[REQUISICIONES MARZO 2021]]+Tabla1[[#This Row],[ENTRADAS MARZO 2021]]</f>
        <v>3</v>
      </c>
      <c r="Q766" s="31" t="s">
        <v>12</v>
      </c>
      <c r="R766" s="35">
        <v>426</v>
      </c>
      <c r="S766" s="36">
        <f t="shared" si="34"/>
        <v>502.68</v>
      </c>
      <c r="T766" s="100">
        <f>Tabla1[[#This Row],[STOCK MARZO ]]*Tabla1[[#This Row],[COSTO UNITARIO SIN ITBIS]]</f>
        <v>1278</v>
      </c>
    </row>
    <row r="767" spans="1:20" s="9" customFormat="1" x14ac:dyDescent="0.25">
      <c r="A767" s="97">
        <v>29</v>
      </c>
      <c r="B767" s="76">
        <v>44028</v>
      </c>
      <c r="C767" s="14" t="s">
        <v>11</v>
      </c>
      <c r="D767" s="76">
        <v>44028</v>
      </c>
      <c r="E767" s="156"/>
      <c r="F767" s="14">
        <v>1771</v>
      </c>
      <c r="G767" s="77" t="s">
        <v>649</v>
      </c>
      <c r="H767" s="74">
        <v>1</v>
      </c>
      <c r="I767" s="74"/>
      <c r="J767" s="74">
        <f>+'INVENTARIO ENERO-MARZO 2021'!$H767-'INVENTARIO ENERO-MARZO 2021'!$I767</f>
        <v>1</v>
      </c>
      <c r="K767" s="74"/>
      <c r="L767" s="74"/>
      <c r="M767" s="74"/>
      <c r="N767" s="74"/>
      <c r="O767" s="74">
        <f>+Tabla1[[#This Row],[STOCK    FISICO ENERO 2021]]-Tabla1[[#This Row],[REQUISICIONES FEBRERO 2021]]</f>
        <v>1</v>
      </c>
      <c r="P767" s="74">
        <f>+Tabla1[[#This Row],[STOCK  FEBRERO 2021]]-Tabla1[[#This Row],[REQUISICIONES MARZO 2021]]+Tabla1[[#This Row],[ENTRADAS MARZO 2021]]</f>
        <v>1</v>
      </c>
      <c r="Q767" s="75" t="s">
        <v>112</v>
      </c>
      <c r="R767" s="78">
        <v>285.36</v>
      </c>
      <c r="S767" s="36">
        <f t="shared" si="34"/>
        <v>336.72480000000002</v>
      </c>
      <c r="T767" s="100">
        <f>Tabla1[[#This Row],[STOCK MARZO ]]*Tabla1[[#This Row],[COSTO UNITARIO SIN ITBIS]]</f>
        <v>285.36</v>
      </c>
    </row>
    <row r="768" spans="1:20" s="9" customFormat="1" x14ac:dyDescent="0.25">
      <c r="A768" s="97">
        <v>30</v>
      </c>
      <c r="B768" s="32">
        <v>44027</v>
      </c>
      <c r="C768" s="14" t="s">
        <v>11</v>
      </c>
      <c r="D768" s="32">
        <v>44027</v>
      </c>
      <c r="E768" s="148"/>
      <c r="F768" s="29">
        <v>1734</v>
      </c>
      <c r="G768" s="33" t="s">
        <v>747</v>
      </c>
      <c r="H768" s="64">
        <v>2</v>
      </c>
      <c r="I768" s="64"/>
      <c r="J768" s="64">
        <f>+'INVENTARIO ENERO-MARZO 2021'!$H768-'INVENTARIO ENERO-MARZO 2021'!$I768</f>
        <v>2</v>
      </c>
      <c r="K768" s="64"/>
      <c r="L768" s="64"/>
      <c r="M768" s="64"/>
      <c r="N768" s="64"/>
      <c r="O768" s="64">
        <f>+Tabla1[[#This Row],[STOCK    FISICO ENERO 2021]]-Tabla1[[#This Row],[REQUISICIONES FEBRERO 2021]]</f>
        <v>2</v>
      </c>
      <c r="P768" s="64">
        <f>+Tabla1[[#This Row],[STOCK  FEBRERO 2021]]-Tabla1[[#This Row],[REQUISICIONES MARZO 2021]]+Tabla1[[#This Row],[ENTRADAS MARZO 2021]]</f>
        <v>2</v>
      </c>
      <c r="Q768" s="31" t="s">
        <v>12</v>
      </c>
      <c r="R768" s="35">
        <v>672</v>
      </c>
      <c r="S768" s="36">
        <f t="shared" si="34"/>
        <v>792.96</v>
      </c>
      <c r="T768" s="100">
        <f>Tabla1[[#This Row],[STOCK MARZO ]]*Tabla1[[#This Row],[COSTO UNITARIO SIN ITBIS]]</f>
        <v>1344</v>
      </c>
    </row>
    <row r="769" spans="1:20" s="9" customFormat="1" x14ac:dyDescent="0.25">
      <c r="A769" s="97">
        <v>31</v>
      </c>
      <c r="B769" s="32">
        <v>44028</v>
      </c>
      <c r="C769" s="14" t="s">
        <v>11</v>
      </c>
      <c r="D769" s="32">
        <v>44028</v>
      </c>
      <c r="E769" s="148"/>
      <c r="F769" s="29">
        <v>1793</v>
      </c>
      <c r="G769" s="33" t="s">
        <v>650</v>
      </c>
      <c r="H769" s="64">
        <v>1</v>
      </c>
      <c r="I769" s="64"/>
      <c r="J769" s="64">
        <f>+'INVENTARIO ENERO-MARZO 2021'!$H769-'INVENTARIO ENERO-MARZO 2021'!$I769</f>
        <v>1</v>
      </c>
      <c r="K769" s="64"/>
      <c r="L769" s="64"/>
      <c r="M769" s="64"/>
      <c r="N769" s="64"/>
      <c r="O769" s="64">
        <f>+Tabla1[[#This Row],[STOCK    FISICO ENERO 2021]]-Tabla1[[#This Row],[REQUISICIONES FEBRERO 2021]]</f>
        <v>1</v>
      </c>
      <c r="P769" s="64">
        <f>+Tabla1[[#This Row],[STOCK  FEBRERO 2021]]-Tabla1[[#This Row],[REQUISICIONES MARZO 2021]]+Tabla1[[#This Row],[ENTRADAS MARZO 2021]]</f>
        <v>1</v>
      </c>
      <c r="Q769" s="31" t="s">
        <v>112</v>
      </c>
      <c r="R769" s="35">
        <v>1082.4000000000001</v>
      </c>
      <c r="S769" s="36">
        <f t="shared" si="34"/>
        <v>1277.2320000000002</v>
      </c>
      <c r="T769" s="100">
        <f>Tabla1[[#This Row],[STOCK MARZO ]]*Tabla1[[#This Row],[COSTO UNITARIO SIN ITBIS]]</f>
        <v>1082.4000000000001</v>
      </c>
    </row>
    <row r="770" spans="1:20" s="9" customFormat="1" x14ac:dyDescent="0.25">
      <c r="A770" s="97">
        <v>32</v>
      </c>
      <c r="B770" s="32">
        <v>44027</v>
      </c>
      <c r="C770" s="14" t="s">
        <v>11</v>
      </c>
      <c r="D770" s="32">
        <v>44027</v>
      </c>
      <c r="E770" s="148"/>
      <c r="F770" s="29">
        <v>1735</v>
      </c>
      <c r="G770" s="33" t="s">
        <v>651</v>
      </c>
      <c r="H770" s="64">
        <v>4</v>
      </c>
      <c r="I770" s="64"/>
      <c r="J770" s="64">
        <f>+'INVENTARIO ENERO-MARZO 2021'!$H770-'INVENTARIO ENERO-MARZO 2021'!$I770</f>
        <v>4</v>
      </c>
      <c r="K770" s="64"/>
      <c r="L770" s="64"/>
      <c r="M770" s="64"/>
      <c r="N770" s="64"/>
      <c r="O770" s="64">
        <f>+Tabla1[[#This Row],[STOCK    FISICO ENERO 2021]]-Tabla1[[#This Row],[REQUISICIONES FEBRERO 2021]]</f>
        <v>4</v>
      </c>
      <c r="P770" s="64">
        <f>+Tabla1[[#This Row],[STOCK  FEBRERO 2021]]-Tabla1[[#This Row],[REQUISICIONES MARZO 2021]]+Tabla1[[#This Row],[ENTRADAS MARZO 2021]]</f>
        <v>4</v>
      </c>
      <c r="Q770" s="31" t="s">
        <v>12</v>
      </c>
      <c r="R770" s="35">
        <v>203.39</v>
      </c>
      <c r="S770" s="36">
        <f t="shared" si="34"/>
        <v>240.00019999999998</v>
      </c>
      <c r="T770" s="100">
        <f>Tabla1[[#This Row],[STOCK MARZO ]]*Tabla1[[#This Row],[COSTO UNITARIO SIN ITBIS]]</f>
        <v>813.56</v>
      </c>
    </row>
    <row r="771" spans="1:20" s="9" customFormat="1" x14ac:dyDescent="0.25">
      <c r="A771" s="97">
        <v>33</v>
      </c>
      <c r="B771" s="32">
        <v>44110</v>
      </c>
      <c r="C771" s="14" t="s">
        <v>11</v>
      </c>
      <c r="D771" s="32">
        <v>44110</v>
      </c>
      <c r="E771" s="148"/>
      <c r="F771" s="29" t="s">
        <v>23</v>
      </c>
      <c r="G771" s="33" t="s">
        <v>652</v>
      </c>
      <c r="H771" s="64">
        <v>3</v>
      </c>
      <c r="I771" s="64"/>
      <c r="J771" s="64">
        <f>+'INVENTARIO ENERO-MARZO 2021'!$H771-'INVENTARIO ENERO-MARZO 2021'!$I771</f>
        <v>3</v>
      </c>
      <c r="K771" s="64"/>
      <c r="L771" s="64"/>
      <c r="M771" s="64"/>
      <c r="N771" s="64"/>
      <c r="O771" s="64">
        <f>+Tabla1[[#This Row],[STOCK    FISICO ENERO 2021]]-Tabla1[[#This Row],[REQUISICIONES FEBRERO 2021]]</f>
        <v>3</v>
      </c>
      <c r="P771" s="64">
        <f>+Tabla1[[#This Row],[STOCK  FEBRERO 2021]]-Tabla1[[#This Row],[REQUISICIONES MARZO 2021]]+Tabla1[[#This Row],[ENTRADAS MARZO 2021]]</f>
        <v>3</v>
      </c>
      <c r="Q771" s="31" t="s">
        <v>12</v>
      </c>
      <c r="R771" s="35">
        <v>282.48</v>
      </c>
      <c r="S771" s="36">
        <f t="shared" si="34"/>
        <v>333.32640000000004</v>
      </c>
      <c r="T771" s="100">
        <f>Tabla1[[#This Row],[STOCK MARZO ]]*Tabla1[[#This Row],[COSTO UNITARIO SIN ITBIS]]</f>
        <v>847.44</v>
      </c>
    </row>
    <row r="772" spans="1:20" s="9" customFormat="1" x14ac:dyDescent="0.25">
      <c r="A772" s="97">
        <v>34</v>
      </c>
      <c r="B772" s="32">
        <v>44168</v>
      </c>
      <c r="C772" s="14" t="s">
        <v>11</v>
      </c>
      <c r="D772" s="32">
        <v>44153</v>
      </c>
      <c r="E772" s="148"/>
      <c r="F772" s="29">
        <v>1790</v>
      </c>
      <c r="G772" s="33" t="s">
        <v>653</v>
      </c>
      <c r="H772" s="64">
        <v>1</v>
      </c>
      <c r="I772" s="64"/>
      <c r="J772" s="64">
        <f>+'INVENTARIO ENERO-MARZO 2021'!$H772-'INVENTARIO ENERO-MARZO 2021'!$I772</f>
        <v>1</v>
      </c>
      <c r="K772" s="64"/>
      <c r="L772" s="64"/>
      <c r="M772" s="64"/>
      <c r="N772" s="64"/>
      <c r="O772" s="64">
        <f>+Tabla1[[#This Row],[STOCK    FISICO ENERO 2021]]-Tabla1[[#This Row],[REQUISICIONES FEBRERO 2021]]</f>
        <v>1</v>
      </c>
      <c r="P772" s="64">
        <f>+Tabla1[[#This Row],[STOCK  FEBRERO 2021]]-Tabla1[[#This Row],[REQUISICIONES MARZO 2021]]+Tabla1[[#This Row],[ENTRADAS MARZO 2021]]</f>
        <v>1</v>
      </c>
      <c r="Q772" s="31" t="s">
        <v>112</v>
      </c>
      <c r="R772" s="35">
        <v>2058</v>
      </c>
      <c r="S772" s="36">
        <f t="shared" si="34"/>
        <v>2428.44</v>
      </c>
      <c r="T772" s="100">
        <f>Tabla1[[#This Row],[STOCK MARZO ]]*Tabla1[[#This Row],[COSTO UNITARIO SIN ITBIS]]</f>
        <v>2058</v>
      </c>
    </row>
    <row r="773" spans="1:20" s="9" customFormat="1" x14ac:dyDescent="0.25">
      <c r="A773" s="97">
        <v>35</v>
      </c>
      <c r="B773" s="32">
        <v>44027</v>
      </c>
      <c r="C773" s="14" t="s">
        <v>11</v>
      </c>
      <c r="D773" s="32">
        <v>44027</v>
      </c>
      <c r="E773" s="148"/>
      <c r="F773" s="29">
        <v>1747</v>
      </c>
      <c r="G773" s="33" t="s">
        <v>654</v>
      </c>
      <c r="H773" s="64">
        <v>1</v>
      </c>
      <c r="I773" s="64"/>
      <c r="J773" s="64">
        <f>+'INVENTARIO ENERO-MARZO 2021'!$H773-'INVENTARIO ENERO-MARZO 2021'!$I773</f>
        <v>1</v>
      </c>
      <c r="K773" s="64"/>
      <c r="L773" s="64"/>
      <c r="M773" s="64"/>
      <c r="N773" s="64"/>
      <c r="O773" s="64">
        <f>+Tabla1[[#This Row],[STOCK    FISICO ENERO 2021]]-Tabla1[[#This Row],[REQUISICIONES FEBRERO 2021]]</f>
        <v>1</v>
      </c>
      <c r="P773" s="64">
        <f>+Tabla1[[#This Row],[STOCK  FEBRERO 2021]]-Tabla1[[#This Row],[REQUISICIONES MARZO 2021]]+Tabla1[[#This Row],[ENTRADAS MARZO 2021]]</f>
        <v>1</v>
      </c>
      <c r="Q773" s="31" t="s">
        <v>12</v>
      </c>
      <c r="R773" s="35">
        <v>1771.2</v>
      </c>
      <c r="S773" s="36">
        <f t="shared" si="34"/>
        <v>2090.0160000000001</v>
      </c>
      <c r="T773" s="100">
        <f>Tabla1[[#This Row],[STOCK MARZO ]]*Tabla1[[#This Row],[COSTO UNITARIO SIN ITBIS]]</f>
        <v>1771.2</v>
      </c>
    </row>
    <row r="774" spans="1:20" s="9" customFormat="1" x14ac:dyDescent="0.25">
      <c r="A774" s="97">
        <v>36</v>
      </c>
      <c r="B774" s="76">
        <v>44028</v>
      </c>
      <c r="C774" s="14" t="s">
        <v>11</v>
      </c>
      <c r="D774" s="76">
        <v>44028</v>
      </c>
      <c r="E774" s="156"/>
      <c r="F774" s="14">
        <v>1776</v>
      </c>
      <c r="G774" s="77" t="s">
        <v>655</v>
      </c>
      <c r="H774" s="74">
        <v>1</v>
      </c>
      <c r="I774" s="74"/>
      <c r="J774" s="74">
        <f>+'INVENTARIO ENERO-MARZO 2021'!$H774-'INVENTARIO ENERO-MARZO 2021'!$I774</f>
        <v>1</v>
      </c>
      <c r="K774" s="74"/>
      <c r="L774" s="74"/>
      <c r="M774" s="74"/>
      <c r="N774" s="74"/>
      <c r="O774" s="74">
        <f>+Tabla1[[#This Row],[STOCK    FISICO ENERO 2021]]-Tabla1[[#This Row],[REQUISICIONES FEBRERO 2021]]</f>
        <v>1</v>
      </c>
      <c r="P774" s="74">
        <f>+Tabla1[[#This Row],[STOCK  FEBRERO 2021]]-Tabla1[[#This Row],[REQUISICIONES MARZO 2021]]+Tabla1[[#This Row],[ENTRADAS MARZO 2021]]</f>
        <v>1</v>
      </c>
      <c r="Q774" s="75" t="s">
        <v>112</v>
      </c>
      <c r="R774" s="78">
        <v>295.2</v>
      </c>
      <c r="S774" s="36">
        <f t="shared" si="34"/>
        <v>348.33600000000001</v>
      </c>
      <c r="T774" s="100">
        <f>Tabla1[[#This Row],[STOCK MARZO ]]*Tabla1[[#This Row],[COSTO UNITARIO SIN ITBIS]]</f>
        <v>295.2</v>
      </c>
    </row>
    <row r="775" spans="1:20" s="9" customFormat="1" x14ac:dyDescent="0.25">
      <c r="A775" s="97">
        <v>37</v>
      </c>
      <c r="B775" s="32">
        <v>44028</v>
      </c>
      <c r="C775" s="14" t="s">
        <v>11</v>
      </c>
      <c r="D775" s="32">
        <v>44028</v>
      </c>
      <c r="E775" s="148"/>
      <c r="F775" s="29">
        <v>1829</v>
      </c>
      <c r="G775" s="33" t="s">
        <v>748</v>
      </c>
      <c r="H775" s="64">
        <v>1</v>
      </c>
      <c r="I775" s="64"/>
      <c r="J775" s="64">
        <f>+'INVENTARIO ENERO-MARZO 2021'!$H775-'INVENTARIO ENERO-MARZO 2021'!$I775</f>
        <v>1</v>
      </c>
      <c r="K775" s="64"/>
      <c r="L775" s="64"/>
      <c r="M775" s="64"/>
      <c r="N775" s="64"/>
      <c r="O775" s="64">
        <f>+Tabla1[[#This Row],[STOCK    FISICO ENERO 2021]]-Tabla1[[#This Row],[REQUISICIONES FEBRERO 2021]]</f>
        <v>1</v>
      </c>
      <c r="P775" s="64">
        <f>+Tabla1[[#This Row],[STOCK  FEBRERO 2021]]-Tabla1[[#This Row],[REQUISICIONES MARZO 2021]]+Tabla1[[#This Row],[ENTRADAS MARZO 2021]]</f>
        <v>1</v>
      </c>
      <c r="Q775" s="31" t="s">
        <v>12</v>
      </c>
      <c r="R775" s="35">
        <v>290.27999999999997</v>
      </c>
      <c r="S775" s="36">
        <f t="shared" si="34"/>
        <v>342.53039999999999</v>
      </c>
      <c r="T775" s="100">
        <f>Tabla1[[#This Row],[STOCK MARZO ]]*Tabla1[[#This Row],[COSTO UNITARIO SIN ITBIS]]</f>
        <v>290.27999999999997</v>
      </c>
    </row>
    <row r="776" spans="1:20" s="9" customFormat="1" x14ac:dyDescent="0.25">
      <c r="A776" s="97">
        <v>38</v>
      </c>
      <c r="B776" s="32">
        <v>44028</v>
      </c>
      <c r="C776" s="14" t="s">
        <v>11</v>
      </c>
      <c r="D776" s="32">
        <v>44028</v>
      </c>
      <c r="E776" s="148"/>
      <c r="F776" s="29">
        <v>1786</v>
      </c>
      <c r="G776" s="33" t="s">
        <v>749</v>
      </c>
      <c r="H776" s="64">
        <v>1</v>
      </c>
      <c r="I776" s="64"/>
      <c r="J776" s="64">
        <f>+'INVENTARIO ENERO-MARZO 2021'!$H776-'INVENTARIO ENERO-MARZO 2021'!$I776</f>
        <v>1</v>
      </c>
      <c r="K776" s="64"/>
      <c r="L776" s="64"/>
      <c r="M776" s="64"/>
      <c r="N776" s="64"/>
      <c r="O776" s="64">
        <f>+Tabla1[[#This Row],[STOCK    FISICO ENERO 2021]]-Tabla1[[#This Row],[REQUISICIONES FEBRERO 2021]]</f>
        <v>1</v>
      </c>
      <c r="P776" s="64">
        <f>+Tabla1[[#This Row],[STOCK  FEBRERO 2021]]-Tabla1[[#This Row],[REQUISICIONES MARZO 2021]]+Tabla1[[#This Row],[ENTRADAS MARZO 2021]]</f>
        <v>1</v>
      </c>
      <c r="Q776" s="31" t="s">
        <v>112</v>
      </c>
      <c r="R776" s="35">
        <v>12737.29</v>
      </c>
      <c r="S776" s="36">
        <f t="shared" si="34"/>
        <v>15030.002200000001</v>
      </c>
      <c r="T776" s="100">
        <f>Tabla1[[#This Row],[STOCK MARZO ]]*Tabla1[[#This Row],[COSTO UNITARIO SIN ITBIS]]</f>
        <v>12737.29</v>
      </c>
    </row>
    <row r="777" spans="1:20" s="9" customFormat="1" x14ac:dyDescent="0.25">
      <c r="A777" s="97">
        <v>39</v>
      </c>
      <c r="B777" s="32">
        <v>44110</v>
      </c>
      <c r="C777" s="14" t="s">
        <v>11</v>
      </c>
      <c r="D777" s="32">
        <v>44110</v>
      </c>
      <c r="E777" s="148"/>
      <c r="F777" s="29" t="s">
        <v>23</v>
      </c>
      <c r="G777" s="33" t="s">
        <v>656</v>
      </c>
      <c r="H777" s="64">
        <v>1</v>
      </c>
      <c r="I777" s="64"/>
      <c r="J777" s="64">
        <f>+'INVENTARIO ENERO-MARZO 2021'!$H777-'INVENTARIO ENERO-MARZO 2021'!$I777</f>
        <v>1</v>
      </c>
      <c r="K777" s="64"/>
      <c r="L777" s="64"/>
      <c r="M777" s="64"/>
      <c r="N777" s="64"/>
      <c r="O777" s="64">
        <f>+Tabla1[[#This Row],[STOCK    FISICO ENERO 2021]]-Tabla1[[#This Row],[REQUISICIONES FEBRERO 2021]]</f>
        <v>1</v>
      </c>
      <c r="P777" s="64">
        <f>+Tabla1[[#This Row],[STOCK  FEBRERO 2021]]-Tabla1[[#This Row],[REQUISICIONES MARZO 2021]]+Tabla1[[#This Row],[ENTRADAS MARZO 2021]]</f>
        <v>1</v>
      </c>
      <c r="Q777" s="31" t="s">
        <v>12</v>
      </c>
      <c r="R777" s="35">
        <v>25000</v>
      </c>
      <c r="S777" s="36">
        <f t="shared" si="34"/>
        <v>29500</v>
      </c>
      <c r="T777" s="100">
        <f>Tabla1[[#This Row],[STOCK MARZO ]]*Tabla1[[#This Row],[COSTO UNITARIO SIN ITBIS]]</f>
        <v>25000</v>
      </c>
    </row>
    <row r="778" spans="1:20" s="9" customFormat="1" ht="15.75" thickBot="1" x14ac:dyDescent="0.3">
      <c r="A778" s="57"/>
      <c r="B778" s="57"/>
      <c r="C778" s="57"/>
      <c r="D778" s="57"/>
      <c r="E778" s="152"/>
      <c r="F778" s="57"/>
      <c r="G778" s="57"/>
      <c r="H778" s="58"/>
      <c r="I778" s="58"/>
      <c r="J778" s="58">
        <f>+'INVENTARIO ENERO-MARZO 2021'!$H778-'INVENTARIO ENERO-MARZO 2021'!$I778</f>
        <v>0</v>
      </c>
      <c r="K778" s="58"/>
      <c r="L778" s="58"/>
      <c r="M778" s="58"/>
      <c r="N778" s="58"/>
      <c r="O778" s="58"/>
      <c r="P778" s="58">
        <f>+Tabla1[[#This Row],[STOCK  FEBRERO 2021]]-Tabla1[[#This Row],[REQUISICIONES MARZO 2021]]+Tabla1[[#This Row],[ENTRADAS MARZO 2021]]</f>
        <v>0</v>
      </c>
      <c r="Q778" s="57"/>
      <c r="R778" s="59"/>
      <c r="S778" s="59" t="s">
        <v>773</v>
      </c>
      <c r="T778" s="102">
        <f>SUM(T739:T777)</f>
        <v>103822.58000000002</v>
      </c>
    </row>
    <row r="779" spans="1:20" s="9" customFormat="1" ht="15.75" thickTop="1" x14ac:dyDescent="0.25">
      <c r="A779" s="62" t="s">
        <v>657</v>
      </c>
      <c r="B779" s="62"/>
      <c r="C779" s="62"/>
      <c r="D779" s="62"/>
      <c r="E779" s="103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103"/>
    </row>
    <row r="780" spans="1:20" s="9" customFormat="1" x14ac:dyDescent="0.25">
      <c r="A780" s="97">
        <v>1</v>
      </c>
      <c r="B780" s="32">
        <v>44169</v>
      </c>
      <c r="C780" s="29" t="s">
        <v>11</v>
      </c>
      <c r="D780" s="32">
        <v>44147</v>
      </c>
      <c r="E780" s="148"/>
      <c r="F780" s="29">
        <v>1369</v>
      </c>
      <c r="G780" s="33" t="s">
        <v>658</v>
      </c>
      <c r="H780" s="84">
        <v>30000</v>
      </c>
      <c r="I780" s="84"/>
      <c r="J780" s="84">
        <f>+'INVENTARIO ENERO-MARZO 2021'!$H780-'INVENTARIO ENERO-MARZO 2021'!$I780</f>
        <v>30000</v>
      </c>
      <c r="K780" s="84"/>
      <c r="L780" s="84"/>
      <c r="M780" s="84"/>
      <c r="N780" s="84"/>
      <c r="O780" s="84">
        <f>+Tabla1[[#This Row],[STOCK    FISICO ENERO 2021]]-Tabla1[[#This Row],[REQUISICIONES FEBRERO 2021]]</f>
        <v>30000</v>
      </c>
      <c r="P780" s="84">
        <f>+Tabla1[[#This Row],[STOCK  FEBRERO 2021]]-Tabla1[[#This Row],[REQUISICIONES MARZO 2021]]+Tabla1[[#This Row],[ENTRADAS MARZO 2021]]</f>
        <v>30000</v>
      </c>
      <c r="Q780" s="31" t="s">
        <v>12</v>
      </c>
      <c r="R780" s="35">
        <v>35.4</v>
      </c>
      <c r="S780" s="36">
        <f>+R780*0.18+R780</f>
        <v>41.771999999999998</v>
      </c>
      <c r="T780" s="100">
        <f>Tabla1[[#This Row],[STOCK MARZO ]]*Tabla1[[#This Row],[COSTO UNITARIO SIN ITBIS]]</f>
        <v>1062000</v>
      </c>
    </row>
    <row r="781" spans="1:20" s="11" customFormat="1" x14ac:dyDescent="0.25">
      <c r="A781" s="97">
        <v>2</v>
      </c>
      <c r="B781" s="32">
        <v>44169</v>
      </c>
      <c r="C781" s="29" t="s">
        <v>11</v>
      </c>
      <c r="D781" s="32">
        <v>44147</v>
      </c>
      <c r="E781" s="148"/>
      <c r="F781" s="14">
        <v>1420</v>
      </c>
      <c r="G781" s="77" t="s">
        <v>659</v>
      </c>
      <c r="H781" s="84">
        <v>65000</v>
      </c>
      <c r="I781" s="84"/>
      <c r="J781" s="84">
        <f>+'INVENTARIO ENERO-MARZO 2021'!$H781-'INVENTARIO ENERO-MARZO 2021'!$I781</f>
        <v>65000</v>
      </c>
      <c r="K781" s="84"/>
      <c r="L781" s="84"/>
      <c r="M781" s="84"/>
      <c r="N781" s="84"/>
      <c r="O781" s="84">
        <f>+Tabla1[[#This Row],[STOCK    FISICO ENERO 2021]]-Tabla1[[#This Row],[REQUISICIONES FEBRERO 2021]]</f>
        <v>65000</v>
      </c>
      <c r="P781" s="84">
        <f>+Tabla1[[#This Row],[STOCK  FEBRERO 2021]]-Tabla1[[#This Row],[REQUISICIONES MARZO 2021]]+Tabla1[[#This Row],[ENTRADAS MARZO 2021]]</f>
        <v>65000</v>
      </c>
      <c r="Q781" s="75" t="s">
        <v>12</v>
      </c>
      <c r="R781" s="78">
        <v>24.04</v>
      </c>
      <c r="S781" s="36">
        <f>+R781*0.18+R781</f>
        <v>28.367199999999997</v>
      </c>
      <c r="T781" s="100">
        <f>Tabla1[[#This Row],[STOCK MARZO ]]*Tabla1[[#This Row],[COSTO UNITARIO SIN ITBIS]]</f>
        <v>1562600</v>
      </c>
    </row>
    <row r="782" spans="1:20" s="11" customFormat="1" x14ac:dyDescent="0.25">
      <c r="A782" s="97">
        <v>3</v>
      </c>
      <c r="B782" s="127"/>
      <c r="C782" s="129"/>
      <c r="D782" s="127"/>
      <c r="E782" s="149"/>
      <c r="F782" s="129"/>
      <c r="G782" s="130" t="s">
        <v>833</v>
      </c>
      <c r="H782" s="131"/>
      <c r="I782" s="131"/>
      <c r="J782" s="131">
        <f>+'INVENTARIO ENERO-MARZO 2021'!$H782-'INVENTARIO ENERO-MARZO 2021'!$I782+78+88</f>
        <v>166</v>
      </c>
      <c r="K782" s="131"/>
      <c r="L782" s="131"/>
      <c r="M782" s="131"/>
      <c r="N782" s="131">
        <v>2</v>
      </c>
      <c r="O782" s="132">
        <f>+Tabla1[[#This Row],[STOCK    FISICO ENERO 2021]]-Tabla1[[#This Row],[REQUISICIONES FEBRERO 2021]]</f>
        <v>166</v>
      </c>
      <c r="P782" s="132">
        <f>+Tabla1[[#This Row],[STOCK  FEBRERO 2021]]-Tabla1[[#This Row],[REQUISICIONES MARZO 2021]]+Tabla1[[#This Row],[ENTRADAS MARZO 2021]]</f>
        <v>164</v>
      </c>
      <c r="Q782" s="75" t="s">
        <v>12</v>
      </c>
      <c r="R782" s="133"/>
      <c r="S782" s="134"/>
      <c r="T782" s="135">
        <f>J782*R782</f>
        <v>0</v>
      </c>
    </row>
    <row r="783" spans="1:20" s="9" customFormat="1" x14ac:dyDescent="0.25">
      <c r="A783" s="97">
        <v>4</v>
      </c>
      <c r="B783" s="76"/>
      <c r="C783" s="29" t="s">
        <v>11</v>
      </c>
      <c r="D783" s="76"/>
      <c r="E783" s="156"/>
      <c r="F783" s="44"/>
      <c r="G783" s="85" t="s">
        <v>670</v>
      </c>
      <c r="H783" s="84">
        <v>4</v>
      </c>
      <c r="I783" s="84"/>
      <c r="J783" s="84">
        <f>+'INVENTARIO ENERO-MARZO 2021'!$H783-'INVENTARIO ENERO-MARZO 2021'!$I783</f>
        <v>4</v>
      </c>
      <c r="K783" s="84"/>
      <c r="L783" s="84"/>
      <c r="M783" s="84"/>
      <c r="N783" s="84"/>
      <c r="O783" s="84">
        <f>+Tabla1[[#This Row],[STOCK    FISICO ENERO 2021]]-Tabla1[[#This Row],[REQUISICIONES FEBRERO 2021]]</f>
        <v>4</v>
      </c>
      <c r="P783" s="84">
        <f>+Tabla1[[#This Row],[STOCK  FEBRERO 2021]]-Tabla1[[#This Row],[REQUISICIONES MARZO 2021]]+Tabla1[[#This Row],[ENTRADAS MARZO 2021]]</f>
        <v>4</v>
      </c>
      <c r="Q783" s="85"/>
      <c r="R783" s="86">
        <v>0</v>
      </c>
      <c r="S783" s="36">
        <v>0</v>
      </c>
      <c r="T783" s="100">
        <f>Tabla1[[#This Row],[STOCK MARZO ]]*Tabla1[[#This Row],[COSTO UNITARIO SIN ITBIS]]</f>
        <v>0</v>
      </c>
    </row>
    <row r="784" spans="1:20" s="9" customFormat="1" x14ac:dyDescent="0.25">
      <c r="A784" s="97">
        <v>5</v>
      </c>
      <c r="B784" s="43">
        <v>43362</v>
      </c>
      <c r="C784" s="42" t="s">
        <v>11</v>
      </c>
      <c r="D784" s="43">
        <v>43362</v>
      </c>
      <c r="E784" s="150"/>
      <c r="F784" s="29">
        <v>1429</v>
      </c>
      <c r="G784" s="33" t="s">
        <v>660</v>
      </c>
      <c r="H784" s="64"/>
      <c r="I784" s="64"/>
      <c r="J784" s="64">
        <f>+'INVENTARIO ENERO-MARZO 2021'!$H784-'INVENTARIO ENERO-MARZO 2021'!$I784</f>
        <v>0</v>
      </c>
      <c r="K784" s="64"/>
      <c r="L784" s="64"/>
      <c r="M784" s="64"/>
      <c r="N784" s="64"/>
      <c r="O784" s="64">
        <f>+Tabla1[[#This Row],[STOCK    FISICO ENERO 2021]]-Tabla1[[#This Row],[REQUISICIONES FEBRERO 2021]]</f>
        <v>0</v>
      </c>
      <c r="P784" s="64">
        <f>+Tabla1[[#This Row],[STOCK  FEBRERO 2021]]-Tabla1[[#This Row],[REQUISICIONES MARZO 2021]]+Tabla1[[#This Row],[ENTRADAS MARZO 2021]]</f>
        <v>0</v>
      </c>
      <c r="Q784" s="31" t="s">
        <v>12</v>
      </c>
      <c r="R784" s="35">
        <v>595</v>
      </c>
      <c r="S784" s="36">
        <f>+R784*0.18+R784</f>
        <v>702.1</v>
      </c>
      <c r="T784" s="100">
        <f>Tabla1[[#This Row],[STOCK MARZO ]]*Tabla1[[#This Row],[COSTO UNITARIO SIN ITBIS]]</f>
        <v>0</v>
      </c>
    </row>
    <row r="785" spans="1:20" s="9" customFormat="1" ht="24.75" x14ac:dyDescent="0.25">
      <c r="A785" s="97">
        <v>6</v>
      </c>
      <c r="B785" s="43">
        <v>43362</v>
      </c>
      <c r="C785" s="42" t="s">
        <v>11</v>
      </c>
      <c r="D785" s="43">
        <v>43362</v>
      </c>
      <c r="E785" s="150"/>
      <c r="F785" s="29">
        <v>1428</v>
      </c>
      <c r="G785" s="33" t="s">
        <v>661</v>
      </c>
      <c r="H785" s="64">
        <v>28</v>
      </c>
      <c r="I785" s="64"/>
      <c r="J785" s="64">
        <f>+'INVENTARIO ENERO-MARZO 2021'!$H785-'INVENTARIO ENERO-MARZO 2021'!$I785</f>
        <v>28</v>
      </c>
      <c r="K785" s="64"/>
      <c r="L785" s="64"/>
      <c r="M785" s="64"/>
      <c r="N785" s="64"/>
      <c r="O785" s="64">
        <f>+Tabla1[[#This Row],[STOCK    FISICO ENERO 2021]]-Tabla1[[#This Row],[REQUISICIONES FEBRERO 2021]]</f>
        <v>28</v>
      </c>
      <c r="P785" s="64">
        <f>+Tabla1[[#This Row],[STOCK  FEBRERO 2021]]-Tabla1[[#This Row],[REQUISICIONES MARZO 2021]]+Tabla1[[#This Row],[ENTRADAS MARZO 2021]]</f>
        <v>28</v>
      </c>
      <c r="Q785" s="31" t="s">
        <v>12</v>
      </c>
      <c r="R785" s="35">
        <v>845</v>
      </c>
      <c r="S785" s="36">
        <f>+R785*0.18+R785</f>
        <v>997.1</v>
      </c>
      <c r="T785" s="100">
        <f>Tabla1[[#This Row],[STOCK MARZO ]]*Tabla1[[#This Row],[COSTO UNITARIO SIN ITBIS]]</f>
        <v>23660</v>
      </c>
    </row>
    <row r="786" spans="1:20" s="9" customFormat="1" ht="15.75" customHeight="1" x14ac:dyDescent="0.25">
      <c r="A786" s="97">
        <v>7</v>
      </c>
      <c r="B786" s="32">
        <v>43405</v>
      </c>
      <c r="C786" s="29" t="s">
        <v>11</v>
      </c>
      <c r="D786" s="32">
        <v>43405</v>
      </c>
      <c r="E786" s="148"/>
      <c r="F786" s="14">
        <v>1463</v>
      </c>
      <c r="G786" s="77" t="s">
        <v>662</v>
      </c>
      <c r="H786" s="74"/>
      <c r="I786" s="74"/>
      <c r="J786" s="74">
        <f>+'INVENTARIO ENERO-MARZO 2021'!$H786-'INVENTARIO ENERO-MARZO 2021'!$I786</f>
        <v>0</v>
      </c>
      <c r="K786" s="74"/>
      <c r="L786" s="74"/>
      <c r="M786" s="74"/>
      <c r="N786" s="74"/>
      <c r="O786" s="74">
        <f>+Tabla1[[#This Row],[STOCK    FISICO ENERO 2021]]-Tabla1[[#This Row],[REQUISICIONES FEBRERO 2021]]</f>
        <v>0</v>
      </c>
      <c r="P786" s="74">
        <f>+Tabla1[[#This Row],[STOCK  FEBRERO 2021]]-Tabla1[[#This Row],[REQUISICIONES MARZO 2021]]+Tabla1[[#This Row],[ENTRADAS MARZO 2021]]</f>
        <v>0</v>
      </c>
      <c r="Q786" s="75" t="s">
        <v>12</v>
      </c>
      <c r="R786" s="78">
        <v>4500</v>
      </c>
      <c r="S786" s="36">
        <f>+R786*0.18+R786</f>
        <v>5310</v>
      </c>
      <c r="T786" s="100">
        <f>Tabla1[[#This Row],[STOCK MARZO ]]*Tabla1[[#This Row],[COSTO UNITARIO SIN ITBIS]]</f>
        <v>0</v>
      </c>
    </row>
    <row r="787" spans="1:20" s="9" customFormat="1" ht="36.75" x14ac:dyDescent="0.25">
      <c r="A787" s="97">
        <v>8</v>
      </c>
      <c r="B787" s="32">
        <v>43405</v>
      </c>
      <c r="C787" s="29" t="s">
        <v>11</v>
      </c>
      <c r="D787" s="32">
        <v>43405</v>
      </c>
      <c r="E787" s="148"/>
      <c r="F787" s="29">
        <v>1453</v>
      </c>
      <c r="G787" s="33" t="s">
        <v>663</v>
      </c>
      <c r="H787" s="64">
        <v>199</v>
      </c>
      <c r="I787" s="64"/>
      <c r="J787" s="64">
        <f>+'INVENTARIO ENERO-MARZO 2021'!$H787-'INVENTARIO ENERO-MARZO 2021'!$I787</f>
        <v>199</v>
      </c>
      <c r="K787" s="64"/>
      <c r="L787" s="64"/>
      <c r="M787" s="64"/>
      <c r="N787" s="64"/>
      <c r="O787" s="64">
        <f>+Tabla1[[#This Row],[STOCK    FISICO ENERO 2021]]-Tabla1[[#This Row],[REQUISICIONES FEBRERO 2021]]</f>
        <v>199</v>
      </c>
      <c r="P787" s="64">
        <f>+Tabla1[[#This Row],[STOCK  FEBRERO 2021]]-Tabla1[[#This Row],[REQUISICIONES MARZO 2021]]+Tabla1[[#This Row],[ENTRADAS MARZO 2021]]</f>
        <v>199</v>
      </c>
      <c r="Q787" s="31" t="s">
        <v>12</v>
      </c>
      <c r="R787" s="35">
        <v>772.75</v>
      </c>
      <c r="S787" s="36">
        <f>+R787*0.18+R787</f>
        <v>911.84500000000003</v>
      </c>
      <c r="T787" s="100">
        <f>Tabla1[[#This Row],[STOCK MARZO ]]*Tabla1[[#This Row],[COSTO UNITARIO SIN ITBIS]]</f>
        <v>153777.25</v>
      </c>
    </row>
    <row r="788" spans="1:20" s="9" customFormat="1" x14ac:dyDescent="0.25">
      <c r="A788" s="97">
        <v>9</v>
      </c>
      <c r="B788" s="76">
        <v>43535</v>
      </c>
      <c r="C788" s="14" t="s">
        <v>11</v>
      </c>
      <c r="D788" s="76">
        <v>43535</v>
      </c>
      <c r="E788" s="156"/>
      <c r="F788" s="29">
        <v>1454</v>
      </c>
      <c r="G788" s="33" t="s">
        <v>664</v>
      </c>
      <c r="H788" s="64">
        <v>80</v>
      </c>
      <c r="I788" s="64"/>
      <c r="J788" s="64">
        <f>+'INVENTARIO ENERO-MARZO 2021'!$H788-'INVENTARIO ENERO-MARZO 2021'!$I788</f>
        <v>80</v>
      </c>
      <c r="K788" s="64"/>
      <c r="L788" s="64"/>
      <c r="M788" s="64"/>
      <c r="N788" s="64"/>
      <c r="O788" s="64">
        <f>+Tabla1[[#This Row],[STOCK    FISICO ENERO 2021]]-Tabla1[[#This Row],[REQUISICIONES FEBRERO 2021]]</f>
        <v>80</v>
      </c>
      <c r="P788" s="64">
        <f>+Tabla1[[#This Row],[STOCK  FEBRERO 2021]]-Tabla1[[#This Row],[REQUISICIONES MARZO 2021]]+Tabla1[[#This Row],[ENTRADAS MARZO 2021]]</f>
        <v>80</v>
      </c>
      <c r="Q788" s="31" t="s">
        <v>12</v>
      </c>
      <c r="R788" s="35">
        <v>300</v>
      </c>
      <c r="S788" s="36">
        <f>+R788*0.18+R788</f>
        <v>354</v>
      </c>
      <c r="T788" s="100">
        <f>Tabla1[[#This Row],[STOCK MARZO ]]*Tabla1[[#This Row],[COSTO UNITARIO SIN ITBIS]]</f>
        <v>24000</v>
      </c>
    </row>
    <row r="789" spans="1:20" s="9" customFormat="1" x14ac:dyDescent="0.25">
      <c r="A789" s="97">
        <v>10</v>
      </c>
      <c r="B789" s="54"/>
      <c r="C789" s="14" t="s">
        <v>11</v>
      </c>
      <c r="D789" s="54"/>
      <c r="E789" s="151"/>
      <c r="F789" s="55"/>
      <c r="G789" s="33" t="s">
        <v>754</v>
      </c>
      <c r="H789" s="70">
        <v>10</v>
      </c>
      <c r="I789" s="70"/>
      <c r="J789" s="70">
        <f>+'INVENTARIO ENERO-MARZO 2021'!$H789-'INVENTARIO ENERO-MARZO 2021'!$I789</f>
        <v>10</v>
      </c>
      <c r="K789" s="70"/>
      <c r="L789" s="70"/>
      <c r="M789" s="70"/>
      <c r="N789" s="70"/>
      <c r="O789" s="70">
        <f>+Tabla1[[#This Row],[STOCK    FISICO ENERO 2021]]-Tabla1[[#This Row],[REQUISICIONES FEBRERO 2021]]</f>
        <v>10</v>
      </c>
      <c r="P789" s="70">
        <f>+Tabla1[[#This Row],[STOCK  FEBRERO 2021]]-Tabla1[[#This Row],[REQUISICIONES MARZO 2021]]+Tabla1[[#This Row],[ENTRADAS MARZO 2021]]</f>
        <v>10</v>
      </c>
      <c r="Q789" s="31" t="s">
        <v>12</v>
      </c>
      <c r="R789" s="42"/>
      <c r="S789" s="36"/>
      <c r="T789" s="100">
        <f>Tabla1[[#This Row],[STOCK MARZO ]]*Tabla1[[#This Row],[COSTO UNITARIO SIN ITBIS]]</f>
        <v>0</v>
      </c>
    </row>
    <row r="790" spans="1:20" s="9" customFormat="1" x14ac:dyDescent="0.25">
      <c r="A790" s="97">
        <v>11</v>
      </c>
      <c r="B790" s="43"/>
      <c r="C790" s="14" t="s">
        <v>11</v>
      </c>
      <c r="D790" s="43"/>
      <c r="E790" s="150"/>
      <c r="F790" s="29"/>
      <c r="G790" s="33" t="s">
        <v>671</v>
      </c>
      <c r="H790" s="64">
        <v>5</v>
      </c>
      <c r="I790" s="64"/>
      <c r="J790" s="64">
        <f>+'INVENTARIO ENERO-MARZO 2021'!$H790-'INVENTARIO ENERO-MARZO 2021'!$I790</f>
        <v>5</v>
      </c>
      <c r="K790" s="64"/>
      <c r="L790" s="64"/>
      <c r="M790" s="64"/>
      <c r="N790" s="64"/>
      <c r="O790" s="64">
        <f>+Tabla1[[#This Row],[STOCK    FISICO ENERO 2021]]-Tabla1[[#This Row],[REQUISICIONES FEBRERO 2021]]</f>
        <v>5</v>
      </c>
      <c r="P790" s="64">
        <f>+Tabla1[[#This Row],[STOCK  FEBRERO 2021]]-Tabla1[[#This Row],[REQUISICIONES MARZO 2021]]+Tabla1[[#This Row],[ENTRADAS MARZO 2021]]</f>
        <v>5</v>
      </c>
      <c r="Q790" s="31" t="s">
        <v>12</v>
      </c>
      <c r="R790" s="35"/>
      <c r="S790" s="36"/>
      <c r="T790" s="100">
        <f>Tabla1[[#This Row],[STOCK MARZO ]]*Tabla1[[#This Row],[COSTO UNITARIO SIN ITBIS]]</f>
        <v>0</v>
      </c>
    </row>
    <row r="791" spans="1:20" s="10" customFormat="1" x14ac:dyDescent="0.25">
      <c r="A791" s="97">
        <v>12</v>
      </c>
      <c r="B791" s="32">
        <v>43206</v>
      </c>
      <c r="C791" s="14" t="s">
        <v>11</v>
      </c>
      <c r="D791" s="32">
        <v>43206</v>
      </c>
      <c r="E791" s="148"/>
      <c r="F791" s="29"/>
      <c r="G791" s="33" t="s">
        <v>753</v>
      </c>
      <c r="H791" s="84">
        <v>40</v>
      </c>
      <c r="I791" s="84"/>
      <c r="J791" s="84">
        <f>+'INVENTARIO ENERO-MARZO 2021'!$H791-'INVENTARIO ENERO-MARZO 2021'!$I791</f>
        <v>40</v>
      </c>
      <c r="K791" s="84"/>
      <c r="L791" s="84"/>
      <c r="M791" s="84"/>
      <c r="N791" s="84"/>
      <c r="O791" s="84">
        <f>+Tabla1[[#This Row],[STOCK    FISICO ENERO 2021]]-Tabla1[[#This Row],[REQUISICIONES FEBRERO 2021]]</f>
        <v>40</v>
      </c>
      <c r="P791" s="84">
        <f>+Tabla1[[#This Row],[STOCK  FEBRERO 2021]]-Tabla1[[#This Row],[REQUISICIONES MARZO 2021]]+Tabla1[[#This Row],[ENTRADAS MARZO 2021]]</f>
        <v>40</v>
      </c>
      <c r="Q791" s="31" t="s">
        <v>12</v>
      </c>
      <c r="R791" s="35"/>
      <c r="S791" s="36">
        <f>+R791*0.18+R791</f>
        <v>0</v>
      </c>
      <c r="T791" s="100">
        <f>Tabla1[[#This Row],[STOCK MARZO ]]*Tabla1[[#This Row],[COSTO UNITARIO SIN ITBIS]]</f>
        <v>0</v>
      </c>
    </row>
    <row r="792" spans="1:20" s="10" customFormat="1" x14ac:dyDescent="0.25">
      <c r="A792" s="97">
        <v>13</v>
      </c>
      <c r="B792" s="120">
        <v>44253</v>
      </c>
      <c r="C792" s="14" t="s">
        <v>11</v>
      </c>
      <c r="D792" s="120">
        <v>44556</v>
      </c>
      <c r="E792" s="153"/>
      <c r="F792" s="121"/>
      <c r="G792" s="122" t="s">
        <v>779</v>
      </c>
      <c r="H792" s="123"/>
      <c r="I792" s="123"/>
      <c r="J792" s="123">
        <f>+'INVENTARIO ENERO-MARZO 2021'!$H792-'INVENTARIO ENERO-MARZO 2021'!$I792</f>
        <v>0</v>
      </c>
      <c r="K792" s="123">
        <v>930</v>
      </c>
      <c r="L792" s="123"/>
      <c r="M792" s="123">
        <v>930</v>
      </c>
      <c r="N792" s="123"/>
      <c r="O792" s="124">
        <f>+Tabla1[[#This Row],[STOCK    FISICO ENERO 2021]]-Tabla1[[#This Row],[REQUISICIONES FEBRERO 2021]]+930</f>
        <v>0</v>
      </c>
      <c r="P792" s="124">
        <f>+Tabla1[[#This Row],[STOCK  FEBRERO 2021]]-Tabla1[[#This Row],[REQUISICIONES MARZO 2021]]+Tabla1[[#This Row],[ENTRADAS MARZO 2021]]</f>
        <v>0</v>
      </c>
      <c r="Q792" s="31" t="s">
        <v>12</v>
      </c>
      <c r="R792" s="126">
        <v>71</v>
      </c>
      <c r="S792" s="36">
        <f>+R792*0.18+R792</f>
        <v>83.78</v>
      </c>
      <c r="T792" s="100">
        <f>Tabla1[[#This Row],[STOCK MARZO ]]*Tabla1[[#This Row],[COSTO UNITARIO SIN ITBIS]]</f>
        <v>0</v>
      </c>
    </row>
    <row r="793" spans="1:20" s="9" customFormat="1" x14ac:dyDescent="0.25">
      <c r="A793" s="97">
        <v>14</v>
      </c>
      <c r="B793" s="32"/>
      <c r="C793" s="14" t="s">
        <v>11</v>
      </c>
      <c r="D793" s="32"/>
      <c r="E793" s="148"/>
      <c r="F793" s="29"/>
      <c r="G793" s="33" t="s">
        <v>751</v>
      </c>
      <c r="H793" s="64"/>
      <c r="I793" s="64"/>
      <c r="J793" s="64">
        <f>+'INVENTARIO ENERO-MARZO 2021'!$H793-'INVENTARIO ENERO-MARZO 2021'!$I793</f>
        <v>0</v>
      </c>
      <c r="K793" s="64"/>
      <c r="L793" s="64"/>
      <c r="M793" s="64"/>
      <c r="N793" s="64"/>
      <c r="O793" s="64">
        <f>+Tabla1[[#This Row],[STOCK    FISICO ENERO 2021]]-Tabla1[[#This Row],[REQUISICIONES FEBRERO 2021]]</f>
        <v>0</v>
      </c>
      <c r="P793" s="64">
        <f>+Tabla1[[#This Row],[STOCK  FEBRERO 2021]]-Tabla1[[#This Row],[REQUISICIONES MARZO 2021]]+Tabla1[[#This Row],[ENTRADAS MARZO 2021]]</f>
        <v>0</v>
      </c>
      <c r="Q793" s="31" t="s">
        <v>12</v>
      </c>
      <c r="R793" s="35"/>
      <c r="S793" s="36"/>
      <c r="T793" s="100">
        <f>Tabla1[[#This Row],[STOCK MARZO ]]*Tabla1[[#This Row],[COSTO UNITARIO SIN ITBIS]]</f>
        <v>0</v>
      </c>
    </row>
    <row r="794" spans="1:20" s="9" customFormat="1" x14ac:dyDescent="0.25">
      <c r="A794" s="97">
        <v>15</v>
      </c>
      <c r="B794" s="120">
        <v>44253</v>
      </c>
      <c r="C794" s="14" t="s">
        <v>11</v>
      </c>
      <c r="D794" s="120">
        <v>44244</v>
      </c>
      <c r="E794" s="153"/>
      <c r="F794" s="121"/>
      <c r="G794" s="122" t="s">
        <v>778</v>
      </c>
      <c r="H794" s="123"/>
      <c r="I794" s="123"/>
      <c r="J794" s="123">
        <f>+'INVENTARIO ENERO-MARZO 2021'!$H794-'INVENTARIO ENERO-MARZO 2021'!$I794</f>
        <v>0</v>
      </c>
      <c r="K794" s="123">
        <v>346</v>
      </c>
      <c r="L794" s="123"/>
      <c r="M794" s="123"/>
      <c r="N794" s="123"/>
      <c r="O794" s="124">
        <f>+Tabla1[[#This Row],[STOCK    FISICO ENERO 2021]]-Tabla1[[#This Row],[REQUISICIONES FEBRERO 2021]]+346</f>
        <v>346</v>
      </c>
      <c r="P794" s="124">
        <f>+Tabla1[[#This Row],[STOCK  FEBRERO 2021]]-Tabla1[[#This Row],[REQUISICIONES MARZO 2021]]+Tabla1[[#This Row],[ENTRADAS MARZO 2021]]</f>
        <v>346</v>
      </c>
      <c r="Q794" s="31" t="s">
        <v>12</v>
      </c>
      <c r="R794" s="126"/>
      <c r="S794" s="125"/>
      <c r="T794" s="100">
        <f>Tabla1[[#This Row],[STOCK MARZO ]]*Tabla1[[#This Row],[COSTO UNITARIO SIN ITBIS]]</f>
        <v>0</v>
      </c>
    </row>
    <row r="795" spans="1:20" s="9" customFormat="1" x14ac:dyDescent="0.25">
      <c r="A795" s="97">
        <v>16</v>
      </c>
      <c r="B795" s="32">
        <v>43522</v>
      </c>
      <c r="C795" s="14" t="s">
        <v>11</v>
      </c>
      <c r="D795" s="32">
        <v>43522</v>
      </c>
      <c r="E795" s="148"/>
      <c r="F795" s="29">
        <v>1458</v>
      </c>
      <c r="G795" s="33" t="s">
        <v>665</v>
      </c>
      <c r="H795" s="64"/>
      <c r="I795" s="64"/>
      <c r="J795" s="64">
        <f>+'INVENTARIO ENERO-MARZO 2021'!$H795-'INVENTARIO ENERO-MARZO 2021'!$I795</f>
        <v>0</v>
      </c>
      <c r="K795" s="64"/>
      <c r="L795" s="64"/>
      <c r="M795" s="64"/>
      <c r="N795" s="64"/>
      <c r="O795" s="64">
        <f>+Tabla1[[#This Row],[STOCK    FISICO ENERO 2021]]-Tabla1[[#This Row],[REQUISICIONES FEBRERO 2021]]</f>
        <v>0</v>
      </c>
      <c r="P795" s="64">
        <f>+Tabla1[[#This Row],[STOCK  FEBRERO 2021]]-Tabla1[[#This Row],[REQUISICIONES MARZO 2021]]+Tabla1[[#This Row],[ENTRADAS MARZO 2021]]</f>
        <v>0</v>
      </c>
      <c r="Q795" s="31" t="s">
        <v>12</v>
      </c>
      <c r="R795" s="35">
        <v>218.3</v>
      </c>
      <c r="S795" s="36">
        <f>+R795*0.18+R795</f>
        <v>257.59399999999999</v>
      </c>
      <c r="T795" s="100">
        <f>Tabla1[[#This Row],[STOCK MARZO ]]*Tabla1[[#This Row],[COSTO UNITARIO SIN ITBIS]]</f>
        <v>0</v>
      </c>
    </row>
    <row r="796" spans="1:20" s="15" customFormat="1" x14ac:dyDescent="0.25">
      <c r="A796" s="138">
        <v>17</v>
      </c>
      <c r="B796" s="168"/>
      <c r="C796" s="140"/>
      <c r="D796" s="168"/>
      <c r="E796" s="169"/>
      <c r="F796" s="140"/>
      <c r="G796" s="170" t="s">
        <v>752</v>
      </c>
      <c r="H796" s="171">
        <v>15</v>
      </c>
      <c r="I796" s="171"/>
      <c r="J796" s="171">
        <f>+'INVENTARIO ENERO-MARZO 2021'!$H796-'INVENTARIO ENERO-MARZO 2021'!$I796</f>
        <v>15</v>
      </c>
      <c r="K796" s="171"/>
      <c r="L796" s="171"/>
      <c r="M796" s="171"/>
      <c r="N796" s="171"/>
      <c r="O796" s="171">
        <f>+Tabla1[[#This Row],[STOCK    FISICO ENERO 2021]]-Tabla1[[#This Row],[REQUISICIONES FEBRERO 2021]]</f>
        <v>15</v>
      </c>
      <c r="P796" s="171">
        <f>+Tabla1[[#This Row],[STOCK  FEBRERO 2021]]-Tabla1[[#This Row],[REQUISICIONES MARZO 2021]]+Tabla1[[#This Row],[ENTRADAS MARZO 2021]]</f>
        <v>15</v>
      </c>
      <c r="Q796" s="172" t="s">
        <v>12</v>
      </c>
      <c r="R796" s="173"/>
      <c r="S796" s="144"/>
      <c r="T796" s="174">
        <f>Tabla1[[#This Row],[STOCK MARZO ]]*Tabla1[[#This Row],[COSTO UNITARIO SIN ITBIS]]</f>
        <v>0</v>
      </c>
    </row>
    <row r="797" spans="1:20" s="9" customFormat="1" x14ac:dyDescent="0.25">
      <c r="A797" s="109"/>
      <c r="B797" s="110"/>
      <c r="C797" s="110"/>
      <c r="D797" s="110"/>
      <c r="E797" s="159"/>
      <c r="F797" s="110"/>
      <c r="G797" s="110"/>
      <c r="H797" s="110"/>
      <c r="I797" s="110"/>
      <c r="J797" s="110"/>
      <c r="K797" s="110"/>
      <c r="L797" s="110"/>
      <c r="M797" s="110"/>
      <c r="N797" s="110"/>
      <c r="O797" s="110"/>
      <c r="P797" s="110"/>
      <c r="Q797" s="111"/>
      <c r="R797" s="110"/>
      <c r="S797" s="165"/>
      <c r="T797" s="112"/>
    </row>
    <row r="798" spans="1:20" s="9" customFormat="1" ht="24.75" thickBot="1" x14ac:dyDescent="0.3">
      <c r="A798" s="56" t="s">
        <v>143</v>
      </c>
      <c r="B798" s="57"/>
      <c r="C798" s="57"/>
      <c r="D798" s="57"/>
      <c r="E798" s="152"/>
      <c r="F798" s="57"/>
      <c r="G798" s="57"/>
      <c r="H798" s="87"/>
      <c r="I798" s="87"/>
      <c r="J798" s="87"/>
      <c r="K798" s="87"/>
      <c r="L798" s="87"/>
      <c r="M798" s="87"/>
      <c r="N798" s="87"/>
      <c r="O798" s="87"/>
      <c r="P798" s="87"/>
      <c r="Q798" s="56"/>
      <c r="R798" s="59"/>
      <c r="S798" s="59" t="s">
        <v>774</v>
      </c>
      <c r="T798" s="60">
        <f>SUM(T780:T797)</f>
        <v>2826037.25</v>
      </c>
    </row>
    <row r="799" spans="1:20" s="16" customFormat="1" ht="16.5" thickTop="1" thickBot="1" x14ac:dyDescent="0.3">
      <c r="A799" s="88" t="s">
        <v>666</v>
      </c>
      <c r="B799" s="89"/>
      <c r="C799" s="89"/>
      <c r="D799" s="89"/>
      <c r="E799" s="160"/>
      <c r="F799" s="89"/>
      <c r="G799" s="89"/>
      <c r="H799" s="90">
        <f>H183+H305+H399+H518+H554+H557+H608+H721+H737+H778+H798+H208+H273</f>
        <v>0</v>
      </c>
      <c r="I799" s="90"/>
      <c r="J799" s="90"/>
      <c r="K799" s="90"/>
      <c r="L799" s="90"/>
      <c r="M799" s="90"/>
      <c r="N799" s="90"/>
      <c r="O799" s="90"/>
      <c r="P799" s="90"/>
      <c r="Q799" s="89"/>
      <c r="R799" s="91">
        <f>R183+R305+R399+R518+R554+R557+R608+R721+R737+R778+R798+R208+R273</f>
        <v>0</v>
      </c>
      <c r="S799" s="92"/>
      <c r="T799" s="93">
        <f>T798+T778+T737+T721+T608+T557+T554+T518+T399+T305+T208+T183+T273</f>
        <v>7802468.8457903033</v>
      </c>
    </row>
    <row r="800" spans="1:20" ht="15.75" thickTop="1" x14ac:dyDescent="0.25">
      <c r="A800" s="17" t="s">
        <v>667</v>
      </c>
      <c r="B800" s="17"/>
      <c r="C800" s="17"/>
      <c r="D800" s="18"/>
      <c r="E800" s="26"/>
      <c r="F800" s="18"/>
      <c r="G800" s="18"/>
      <c r="H800" s="17"/>
      <c r="I800" s="17"/>
      <c r="J800" s="17"/>
      <c r="K800" s="17"/>
      <c r="L800" s="17"/>
      <c r="M800" s="17"/>
      <c r="N800" s="17"/>
      <c r="O800" s="118"/>
      <c r="P800" s="118"/>
      <c r="Q800" s="175" t="s">
        <v>673</v>
      </c>
      <c r="R800" s="175"/>
      <c r="S800" s="175"/>
      <c r="T800" s="26"/>
    </row>
    <row r="801" spans="1:20" x14ac:dyDescent="0.25">
      <c r="A801" s="19" t="s">
        <v>668</v>
      </c>
      <c r="B801" s="19"/>
      <c r="C801" s="19"/>
      <c r="D801" s="19"/>
      <c r="E801" s="161"/>
      <c r="F801" s="20"/>
      <c r="G801" s="20"/>
      <c r="H801" s="19"/>
      <c r="I801" s="19"/>
      <c r="J801" s="19"/>
      <c r="K801" s="19"/>
      <c r="L801" s="19"/>
      <c r="M801" s="19"/>
      <c r="N801" s="19"/>
      <c r="O801" s="119"/>
      <c r="P801" s="119"/>
      <c r="Q801" s="176" t="s">
        <v>669</v>
      </c>
      <c r="R801" s="176"/>
      <c r="S801" s="176"/>
      <c r="T801" s="26"/>
    </row>
    <row r="802" spans="1:20" x14ac:dyDescent="0.25">
      <c r="A802" s="18"/>
      <c r="B802" s="18"/>
      <c r="C802" s="18"/>
      <c r="D802" s="17"/>
      <c r="E802" s="26"/>
      <c r="F802" s="18"/>
      <c r="G802" s="18"/>
      <c r="H802" s="17"/>
      <c r="I802" s="17"/>
      <c r="J802" s="17"/>
      <c r="K802" s="17"/>
      <c r="L802" s="17"/>
      <c r="M802" s="17"/>
      <c r="N802" s="17"/>
      <c r="O802" s="118"/>
      <c r="P802" s="118"/>
      <c r="Q802" s="17"/>
      <c r="R802" s="18"/>
      <c r="S802" s="166"/>
      <c r="T802" s="26"/>
    </row>
    <row r="804" spans="1:20" x14ac:dyDescent="0.25">
      <c r="T804" s="27"/>
    </row>
    <row r="805" spans="1:20" ht="15.75" customHeight="1" x14ac:dyDescent="0.25">
      <c r="T805" s="27"/>
    </row>
  </sheetData>
  <sheetProtection algorithmName="SHA-512" hashValue="jRY/TyCIomTuT+LvRKB8DIxvB0pbYhOstdJWlUG9uVUOglvC2Js2riMVfmPknz9kYOdriGbdb7UmxISmychMPQ==" saltValue="8bAGRROT6S1B8vt0Yi+iQQ==" spinCount="100000" sheet="1" objects="1" scenarios="1"/>
  <sortState ref="A726:Y741">
    <sortCondition ref="G726:G741"/>
  </sortState>
  <mergeCells count="7">
    <mergeCell ref="Q800:S800"/>
    <mergeCell ref="Q801:S801"/>
    <mergeCell ref="A2:Q2"/>
    <mergeCell ref="A3:Q3"/>
    <mergeCell ref="A4:Q4"/>
    <mergeCell ref="A5:Q5"/>
    <mergeCell ref="A7:T7"/>
  </mergeCells>
  <printOptions horizontalCentered="1"/>
  <pageMargins left="0" right="0" top="0" bottom="0" header="0" footer="0"/>
  <pageSetup paperSize="8" scale="85" orientation="landscape" r:id="rId1"/>
  <drawing r:id="rId2"/>
  <legacy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INVENTARIO ENERO-MARZO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Dauris Alberto Diaz Jimenez</dc:creator>
  <cp:lastModifiedBy>Cecilia Guzman</cp:lastModifiedBy>
  <cp:lastPrinted>2021-12-13T19:08:36Z</cp:lastPrinted>
  <dcterms:created xsi:type="dcterms:W3CDTF">2020-12-08T15:52:21Z</dcterms:created>
  <dcterms:modified xsi:type="dcterms:W3CDTF">2025-03-27T12:44:08Z</dcterms:modified>
</cp:coreProperties>
</file>